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"/>
  </bookViews>
  <sheets>
    <sheet name="ejerc VII.1" sheetId="1" r:id="rId1"/>
    <sheet name="ejerc VII.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<sst xmlns="http://schemas.openxmlformats.org/spreadsheetml/2006/main" count="85" uniqueCount="45">
  <si>
    <t>EJERCICIO 1</t>
  </si>
  <si>
    <t>Capítulo VII del texto Matemáticas Financieras, cuarta edición, autor Jaime García</t>
  </si>
  <si>
    <t>"El Valor Presente Neto"</t>
  </si>
  <si>
    <t>n</t>
  </si>
  <si>
    <t>ingresos</t>
  </si>
  <si>
    <t>carga de datos</t>
  </si>
  <si>
    <t>gradiente de</t>
  </si>
  <si>
    <t>los ingresos</t>
  </si>
  <si>
    <t>costos</t>
  </si>
  <si>
    <t>los costos</t>
  </si>
  <si>
    <t>inversión</t>
  </si>
  <si>
    <t>valor presente</t>
  </si>
  <si>
    <t>valor presente de ingresos =</t>
  </si>
  <si>
    <t>valor presente de costos =</t>
  </si>
  <si>
    <t>valor de</t>
  </si>
  <si>
    <t>reventa</t>
  </si>
  <si>
    <t>oportunidad mensual</t>
  </si>
  <si>
    <t>tasa de</t>
  </si>
  <si>
    <t xml:space="preserve"> </t>
  </si>
  <si>
    <t>valor presente neto  =</t>
  </si>
  <si>
    <t>EJERCICIO 2</t>
  </si>
  <si>
    <t>trimestrales</t>
  </si>
  <si>
    <t>costos mensuales</t>
  </si>
  <si>
    <t>tasa de oportunidad</t>
  </si>
  <si>
    <t>mensual para costos</t>
  </si>
  <si>
    <t>trimestral para ingresos</t>
  </si>
  <si>
    <t>carga de datos para los ingresos</t>
  </si>
  <si>
    <t>carga de datos para los costos</t>
  </si>
  <si>
    <t>trimestres</t>
  </si>
  <si>
    <t>meses</t>
  </si>
  <si>
    <t>inversión inicial</t>
  </si>
  <si>
    <t>inversión mes 12</t>
  </si>
  <si>
    <t>inversión mes 18</t>
  </si>
  <si>
    <t>valor presente de las inversiones</t>
  </si>
  <si>
    <t>30% del valor p. de las inversiones.</t>
  </si>
  <si>
    <t xml:space="preserve">valor presente neto  </t>
  </si>
  <si>
    <t xml:space="preserve">               "no se cumple el objetivo"</t>
  </si>
  <si>
    <t>valor presente de</t>
  </si>
  <si>
    <t>inversiones (-)  =</t>
  </si>
  <si>
    <t>costos (-)       =</t>
  </si>
  <si>
    <t>egresos            =</t>
  </si>
  <si>
    <t>VPN               =</t>
  </si>
  <si>
    <t>fórmulas</t>
  </si>
  <si>
    <t xml:space="preserve">fórmulas </t>
  </si>
  <si>
    <t>(comprobación)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</si>
</sst>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#,##0.000"/>
    <numFmt numFmtId="167" formatCode="#,##0.000000"/>
    <numFmt numFmtId="168" formatCode="[$S/.-280A]\ #,##0.00_ ;[Red]\-[$S/.-280A]\ #,##0.00\ "/>
  </numFmts>
  <fonts count="3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2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10" fontId="1" fillId="2" borderId="1" xfId="19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4" fontId="0" fillId="2" borderId="5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4" fontId="1" fillId="2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7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168" fontId="0" fillId="4" borderId="1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5</xdr:col>
      <xdr:colOff>28575</xdr:colOff>
      <xdr:row>15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571500"/>
          <a:ext cx="3067050" cy="1885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 proyecto consiste en una inversión hoy  por 3 millones de unidades monetarias (u.m.) y costos de 95 mil u.m. el primer mes y aumentarán en 5 mil u.m. cada mes. Los ingresos se estiman en 245 mil u.m. el primer mes y aumentarán en el 4% cada mes. El proyecto tendrá una duración de 2 años con un valor de mercado de 1.3 millones de u.m. al cabo de este tiempo; si la tasa de oportunidad del inversionista es del 36.07% anual, determinar utilizando el índice del Valor Presente Neto, si es rentable o no el proyecto.</a:t>
          </a:r>
        </a:p>
      </xdr:txBody>
    </xdr:sp>
    <xdr:clientData/>
  </xdr:twoCellAnchor>
  <xdr:twoCellAnchor>
    <xdr:from>
      <xdr:col>0</xdr:col>
      <xdr:colOff>495300</xdr:colOff>
      <xdr:row>14</xdr:row>
      <xdr:rowOff>76200</xdr:rowOff>
    </xdr:from>
    <xdr:to>
      <xdr:col>7</xdr:col>
      <xdr:colOff>333375</xdr:colOff>
      <xdr:row>30</xdr:row>
      <xdr:rowOff>47625</xdr:rowOff>
    </xdr:to>
    <xdr:grpSp>
      <xdr:nvGrpSpPr>
        <xdr:cNvPr id="2" name="Group 19"/>
        <xdr:cNvGrpSpPr>
          <a:grpSpLocks/>
        </xdr:cNvGrpSpPr>
      </xdr:nvGrpSpPr>
      <xdr:grpSpPr>
        <a:xfrm>
          <a:off x="495300" y="2343150"/>
          <a:ext cx="5172075" cy="2562225"/>
          <a:chOff x="58" y="249"/>
          <a:chExt cx="543" cy="269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 flipV="1">
            <a:off x="80" y="386"/>
            <a:ext cx="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81" y="388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71" y="403"/>
            <a:ext cx="50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0    1  2  3  4  5  6  7 8 9 10  11  12  13  14  15  16  17  18  19 20  21 22 23 24 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V="1">
            <a:off x="112" y="349"/>
            <a:ext cx="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533" y="289"/>
            <a:ext cx="0" cy="9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108" y="390"/>
            <a:ext cx="0" cy="3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98" y="426"/>
            <a:ext cx="447" cy="6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533" y="390"/>
            <a:ext cx="0" cy="9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307" y="356"/>
            <a:ext cx="63" cy="1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 = 4%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302" y="474"/>
            <a:ext cx="94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G=5,000.00 u.m.</a:t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 flipV="1">
            <a:off x="105" y="285"/>
            <a:ext cx="426" cy="67"/>
          </a:xfrm>
          <a:prstGeom prst="arc">
            <a:avLst/>
          </a:prstGeom>
          <a:noFill/>
          <a:ln w="9525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535" y="249"/>
            <a:ext cx="66" cy="3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1.3 millones de u.m.</a:t>
            </a:r>
          </a:p>
        </xdr:txBody>
      </xdr:sp>
      <xdr:sp>
        <xdr:nvSpPr>
          <xdr:cNvPr id="15" name="TextBox 16"/>
          <xdr:cNvSpPr txBox="1">
            <a:spLocks noChangeArrowheads="1"/>
          </xdr:cNvSpPr>
        </xdr:nvSpPr>
        <xdr:spPr>
          <a:xfrm>
            <a:off x="89" y="313"/>
            <a:ext cx="72" cy="2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245 mil u.m.</a:t>
            </a:r>
          </a:p>
        </xdr:txBody>
      </xdr:sp>
      <xdr:sp>
        <xdr:nvSpPr>
          <xdr:cNvPr id="16" name="TextBox 17"/>
          <xdr:cNvSpPr txBox="1">
            <a:spLocks noChangeArrowheads="1"/>
          </xdr:cNvSpPr>
        </xdr:nvSpPr>
        <xdr:spPr>
          <a:xfrm>
            <a:off x="94" y="444"/>
            <a:ext cx="61" cy="2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95 mil u.m.</a:t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58" y="488"/>
            <a:ext cx="82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 millones u.m.</a:t>
            </a:r>
          </a:p>
        </xdr:txBody>
      </xdr:sp>
    </xdr:grpSp>
    <xdr:clientData/>
  </xdr:twoCellAnchor>
  <xdr:twoCellAnchor>
    <xdr:from>
      <xdr:col>12</xdr:col>
      <xdr:colOff>28575</xdr:colOff>
      <xdr:row>43</xdr:row>
      <xdr:rowOff>85725</xdr:rowOff>
    </xdr:from>
    <xdr:to>
      <xdr:col>13</xdr:col>
      <xdr:colOff>1057275</xdr:colOff>
      <xdr:row>43</xdr:row>
      <xdr:rowOff>85725</xdr:rowOff>
    </xdr:to>
    <xdr:sp>
      <xdr:nvSpPr>
        <xdr:cNvPr id="18" name="Line 20"/>
        <xdr:cNvSpPr>
          <a:spLocks/>
        </xdr:cNvSpPr>
      </xdr:nvSpPr>
      <xdr:spPr>
        <a:xfrm flipV="1">
          <a:off x="9429750" y="70485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5</xdr:col>
      <xdr:colOff>38100</xdr:colOff>
      <xdr:row>16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514350"/>
          <a:ext cx="3067050" cy="2200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 proyecto tiene la siguiente información: a) inversión inicial: 15 millones de u.m.; nuevas inversiones: 5 millones dentro de un año, 2 millones dentro de un año y medio; b) costo de operación por mes: 700 mil el primer mes y aumentarán en el 3% mensual; c) ingresos trimestrales: 3.5 millones el primer trimestre y aumentarán en el 10% cada trimestre; d) valor de mercado: 8.5 millones; e) vida útil: 3 años; f) tasa de oportunidad del inversionista: 30% anual; g) el objetivo del inversionista es obtener una ganancia en unidades monetarias de hoy de por lo menos el 15% del valor presente de las inversiones del proyecto. ¿se cumple el objetivo?</a:t>
          </a:r>
        </a:p>
      </xdr:txBody>
    </xdr:sp>
    <xdr:clientData/>
  </xdr:twoCellAnchor>
  <xdr:twoCellAnchor>
    <xdr:from>
      <xdr:col>0</xdr:col>
      <xdr:colOff>666750</xdr:colOff>
      <xdr:row>22</xdr:row>
      <xdr:rowOff>85725</xdr:rowOff>
    </xdr:from>
    <xdr:to>
      <xdr:col>7</xdr:col>
      <xdr:colOff>666750</xdr:colOff>
      <xdr:row>22</xdr:row>
      <xdr:rowOff>95250</xdr:rowOff>
    </xdr:to>
    <xdr:sp>
      <xdr:nvSpPr>
        <xdr:cNvPr id="2" name="Line 3"/>
        <xdr:cNvSpPr>
          <a:spLocks/>
        </xdr:cNvSpPr>
      </xdr:nvSpPr>
      <xdr:spPr>
        <a:xfrm>
          <a:off x="666750" y="3648075"/>
          <a:ext cx="533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22</xdr:row>
      <xdr:rowOff>104775</xdr:rowOff>
    </xdr:from>
    <xdr:to>
      <xdr:col>0</xdr:col>
      <xdr:colOff>676275</xdr:colOff>
      <xdr:row>26</xdr:row>
      <xdr:rowOff>133350</xdr:rowOff>
    </xdr:to>
    <xdr:sp>
      <xdr:nvSpPr>
        <xdr:cNvPr id="3" name="Line 4"/>
        <xdr:cNvSpPr>
          <a:spLocks/>
        </xdr:cNvSpPr>
      </xdr:nvSpPr>
      <xdr:spPr>
        <a:xfrm>
          <a:off x="676275" y="36671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85725</xdr:rowOff>
    </xdr:from>
    <xdr:to>
      <xdr:col>8</xdr:col>
      <xdr:colOff>561975</xdr:colOff>
      <xdr:row>25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81025" y="3810000"/>
          <a:ext cx="6076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0    1  2  3  4  5  6  7 8 9 10  11  12  13  14  15  16  17  18  19 20  21 22 23 24 25 26 27 28......36 meses</a:t>
          </a:r>
        </a:p>
      </xdr:txBody>
    </xdr:sp>
    <xdr:clientData/>
  </xdr:twoCellAnchor>
  <xdr:twoCellAnchor>
    <xdr:from>
      <xdr:col>1</xdr:col>
      <xdr:colOff>495300</xdr:colOff>
      <xdr:row>20</xdr:row>
      <xdr:rowOff>57150</xdr:rowOff>
    </xdr:from>
    <xdr:to>
      <xdr:col>1</xdr:col>
      <xdr:colOff>495300</xdr:colOff>
      <xdr:row>22</xdr:row>
      <xdr:rowOff>85725</xdr:rowOff>
    </xdr:to>
    <xdr:sp>
      <xdr:nvSpPr>
        <xdr:cNvPr id="5" name="Line 6"/>
        <xdr:cNvSpPr>
          <a:spLocks/>
        </xdr:cNvSpPr>
      </xdr:nvSpPr>
      <xdr:spPr>
        <a:xfrm flipV="1">
          <a:off x="1257300" y="3295650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9525</xdr:rowOff>
    </xdr:from>
    <xdr:to>
      <xdr:col>7</xdr:col>
      <xdr:colOff>647700</xdr:colOff>
      <xdr:row>22</xdr:row>
      <xdr:rowOff>85725</xdr:rowOff>
    </xdr:to>
    <xdr:sp>
      <xdr:nvSpPr>
        <xdr:cNvPr id="6" name="Line 7"/>
        <xdr:cNvSpPr>
          <a:spLocks/>
        </xdr:cNvSpPr>
      </xdr:nvSpPr>
      <xdr:spPr>
        <a:xfrm flipV="1">
          <a:off x="5981700" y="2438400"/>
          <a:ext cx="0" cy="12096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123825</xdr:rowOff>
    </xdr:from>
    <xdr:to>
      <xdr:col>1</xdr:col>
      <xdr:colOff>171450</xdr:colOff>
      <xdr:row>25</xdr:row>
      <xdr:rowOff>9525</xdr:rowOff>
    </xdr:to>
    <xdr:sp>
      <xdr:nvSpPr>
        <xdr:cNvPr id="7" name="Line 8"/>
        <xdr:cNvSpPr>
          <a:spLocks/>
        </xdr:cNvSpPr>
      </xdr:nvSpPr>
      <xdr:spPr>
        <a:xfrm>
          <a:off x="933450" y="3686175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22</xdr:row>
      <xdr:rowOff>123825</xdr:rowOff>
    </xdr:from>
    <xdr:to>
      <xdr:col>7</xdr:col>
      <xdr:colOff>647700</xdr:colOff>
      <xdr:row>29</xdr:row>
      <xdr:rowOff>28575</xdr:rowOff>
    </xdr:to>
    <xdr:sp>
      <xdr:nvSpPr>
        <xdr:cNvPr id="8" name="Line 10"/>
        <xdr:cNvSpPr>
          <a:spLocks/>
        </xdr:cNvSpPr>
      </xdr:nvSpPr>
      <xdr:spPr>
        <a:xfrm>
          <a:off x="5981700" y="3686175"/>
          <a:ext cx="0" cy="1038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20</xdr:row>
      <xdr:rowOff>123825</xdr:rowOff>
    </xdr:from>
    <xdr:to>
      <xdr:col>5</xdr:col>
      <xdr:colOff>209550</xdr:colOff>
      <xdr:row>22</xdr:row>
      <xdr:rowOff>28575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828925" y="3362325"/>
          <a:ext cx="11906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 = 10% por trimestre</a:t>
          </a:r>
        </a:p>
      </xdr:txBody>
    </xdr:sp>
    <xdr:clientData/>
  </xdr:twoCellAnchor>
  <xdr:twoCellAnchor>
    <xdr:from>
      <xdr:col>2</xdr:col>
      <xdr:colOff>485775</xdr:colOff>
      <xdr:row>29</xdr:row>
      <xdr:rowOff>123825</xdr:rowOff>
    </xdr:from>
    <xdr:to>
      <xdr:col>3</xdr:col>
      <xdr:colOff>619125</xdr:colOff>
      <xdr:row>31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9775" y="4819650"/>
          <a:ext cx="8953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 = 3% mensual</a:t>
          </a:r>
        </a:p>
      </xdr:txBody>
    </xdr:sp>
    <xdr:clientData/>
  </xdr:twoCellAnchor>
  <xdr:twoCellAnchor>
    <xdr:from>
      <xdr:col>1</xdr:col>
      <xdr:colOff>142875</xdr:colOff>
      <xdr:row>16</xdr:row>
      <xdr:rowOff>104775</xdr:rowOff>
    </xdr:from>
    <xdr:to>
      <xdr:col>7</xdr:col>
      <xdr:colOff>581025</xdr:colOff>
      <xdr:row>20</xdr:row>
      <xdr:rowOff>85725</xdr:rowOff>
    </xdr:to>
    <xdr:sp>
      <xdr:nvSpPr>
        <xdr:cNvPr id="11" name="Arc 13"/>
        <xdr:cNvSpPr>
          <a:spLocks/>
        </xdr:cNvSpPr>
      </xdr:nvSpPr>
      <xdr:spPr>
        <a:xfrm flipV="1">
          <a:off x="904875" y="2695575"/>
          <a:ext cx="5010150" cy="628650"/>
        </a:xfrm>
        <a:prstGeom prst="arc">
          <a:avLst>
            <a:gd name="adj1" fmla="val -26023810"/>
            <a:gd name="adj2" fmla="val -2586675"/>
            <a:gd name="adj3" fmla="val 49708"/>
          </a:avLst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12</xdr:row>
      <xdr:rowOff>152400</xdr:rowOff>
    </xdr:from>
    <xdr:to>
      <xdr:col>8</xdr:col>
      <xdr:colOff>28575</xdr:colOff>
      <xdr:row>15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495925" y="2095500"/>
          <a:ext cx="628650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8.5 millones de u.m.</a:t>
          </a:r>
        </a:p>
      </xdr:txBody>
    </xdr:sp>
    <xdr:clientData/>
  </xdr:twoCellAnchor>
  <xdr:twoCellAnchor>
    <xdr:from>
      <xdr:col>0</xdr:col>
      <xdr:colOff>752475</xdr:colOff>
      <xdr:row>18</xdr:row>
      <xdr:rowOff>152400</xdr:rowOff>
    </xdr:from>
    <xdr:to>
      <xdr:col>2</xdr:col>
      <xdr:colOff>123825</xdr:colOff>
      <xdr:row>20</xdr:row>
      <xdr:rowOff>38100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752475" y="3067050"/>
          <a:ext cx="8953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3.5 millones u.m.</a:t>
          </a:r>
        </a:p>
      </xdr:txBody>
    </xdr:sp>
    <xdr:clientData/>
  </xdr:twoCellAnchor>
  <xdr:twoCellAnchor>
    <xdr:from>
      <xdr:col>1</xdr:col>
      <xdr:colOff>47625</xdr:colOff>
      <xdr:row>25</xdr:row>
      <xdr:rowOff>38100</xdr:rowOff>
    </xdr:from>
    <xdr:to>
      <xdr:col>1</xdr:col>
      <xdr:colOff>628650</xdr:colOff>
      <xdr:row>26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809625" y="4086225"/>
          <a:ext cx="5810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700 mil u.m.</a:t>
          </a:r>
        </a:p>
      </xdr:txBody>
    </xdr:sp>
    <xdr:clientData/>
  </xdr:twoCellAnchor>
  <xdr:twoCellAnchor>
    <xdr:from>
      <xdr:col>0</xdr:col>
      <xdr:colOff>428625</xdr:colOff>
      <xdr:row>27</xdr:row>
      <xdr:rowOff>76200</xdr:rowOff>
    </xdr:from>
    <xdr:to>
      <xdr:col>1</xdr:col>
      <xdr:colOff>447675</xdr:colOff>
      <xdr:row>29</xdr:row>
      <xdr:rowOff>38100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28625" y="4448175"/>
          <a:ext cx="78105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 millones u.m.</a:t>
          </a:r>
        </a:p>
      </xdr:txBody>
    </xdr:sp>
    <xdr:clientData/>
  </xdr:twoCellAnchor>
  <xdr:twoCellAnchor>
    <xdr:from>
      <xdr:col>1</xdr:col>
      <xdr:colOff>142875</xdr:colOff>
      <xdr:row>24</xdr:row>
      <xdr:rowOff>152400</xdr:rowOff>
    </xdr:from>
    <xdr:to>
      <xdr:col>7</xdr:col>
      <xdr:colOff>609600</xdr:colOff>
      <xdr:row>30</xdr:row>
      <xdr:rowOff>19050</xdr:rowOff>
    </xdr:to>
    <xdr:sp>
      <xdr:nvSpPr>
        <xdr:cNvPr id="16" name="Arc 18"/>
        <xdr:cNvSpPr>
          <a:spLocks/>
        </xdr:cNvSpPr>
      </xdr:nvSpPr>
      <xdr:spPr>
        <a:xfrm>
          <a:off x="904875" y="4038600"/>
          <a:ext cx="5038725" cy="838200"/>
        </a:xfrm>
        <a:prstGeom prst="arc">
          <a:avLst>
            <a:gd name="adj" fmla="val -36229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22</xdr:row>
      <xdr:rowOff>123825</xdr:rowOff>
    </xdr:from>
    <xdr:to>
      <xdr:col>3</xdr:col>
      <xdr:colOff>333375</xdr:colOff>
      <xdr:row>27</xdr:row>
      <xdr:rowOff>85725</xdr:rowOff>
    </xdr:to>
    <xdr:sp>
      <xdr:nvSpPr>
        <xdr:cNvPr id="17" name="Line 19"/>
        <xdr:cNvSpPr>
          <a:spLocks/>
        </xdr:cNvSpPr>
      </xdr:nvSpPr>
      <xdr:spPr>
        <a:xfrm flipH="1">
          <a:off x="2619375" y="3686175"/>
          <a:ext cx="0" cy="77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114300</xdr:rowOff>
    </xdr:from>
    <xdr:to>
      <xdr:col>5</xdr:col>
      <xdr:colOff>66675</xdr:colOff>
      <xdr:row>27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3867150" y="3676650"/>
          <a:ext cx="9525" cy="695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16</xdr:row>
      <xdr:rowOff>152400</xdr:rowOff>
    </xdr:from>
    <xdr:to>
      <xdr:col>7</xdr:col>
      <xdr:colOff>619125</xdr:colOff>
      <xdr:row>22</xdr:row>
      <xdr:rowOff>95250</xdr:rowOff>
    </xdr:to>
    <xdr:sp>
      <xdr:nvSpPr>
        <xdr:cNvPr id="19" name="Line 21"/>
        <xdr:cNvSpPr>
          <a:spLocks/>
        </xdr:cNvSpPr>
      </xdr:nvSpPr>
      <xdr:spPr>
        <a:xfrm flipV="1">
          <a:off x="5953125" y="2743200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27</xdr:row>
      <xdr:rowOff>104775</xdr:rowOff>
    </xdr:from>
    <xdr:to>
      <xdr:col>3</xdr:col>
      <xdr:colOff>714375</xdr:colOff>
      <xdr:row>29</xdr:row>
      <xdr:rowOff>9525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019300" y="4476750"/>
          <a:ext cx="9810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 millones u.m.
</a:t>
          </a:r>
        </a:p>
      </xdr:txBody>
    </xdr:sp>
    <xdr:clientData/>
  </xdr:twoCellAnchor>
  <xdr:twoCellAnchor>
    <xdr:from>
      <xdr:col>4</xdr:col>
      <xdr:colOff>466725</xdr:colOff>
      <xdr:row>27</xdr:row>
      <xdr:rowOff>28575</xdr:rowOff>
    </xdr:from>
    <xdr:to>
      <xdr:col>5</xdr:col>
      <xdr:colOff>685800</xdr:colOff>
      <xdr:row>28</xdr:row>
      <xdr:rowOff>95250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3514725" y="4400550"/>
          <a:ext cx="9810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 millones u.m.
</a:t>
          </a:r>
        </a:p>
      </xdr:txBody>
    </xdr:sp>
    <xdr:clientData/>
  </xdr:twoCellAnchor>
  <xdr:twoCellAnchor>
    <xdr:from>
      <xdr:col>14</xdr:col>
      <xdr:colOff>28575</xdr:colOff>
      <xdr:row>62</xdr:row>
      <xdr:rowOff>85725</xdr:rowOff>
    </xdr:from>
    <xdr:to>
      <xdr:col>15</xdr:col>
      <xdr:colOff>1123950</xdr:colOff>
      <xdr:row>62</xdr:row>
      <xdr:rowOff>85725</xdr:rowOff>
    </xdr:to>
    <xdr:sp>
      <xdr:nvSpPr>
        <xdr:cNvPr id="22" name="Line 25"/>
        <xdr:cNvSpPr>
          <a:spLocks/>
        </xdr:cNvSpPr>
      </xdr:nvSpPr>
      <xdr:spPr>
        <a:xfrm flipV="1">
          <a:off x="11068050" y="101250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J31">
      <selection activeCell="P40" sqref="P40"/>
    </sheetView>
  </sheetViews>
  <sheetFormatPr defaultColWidth="11.421875" defaultRowHeight="12.75"/>
  <cols>
    <col min="12" max="12" width="15.28125" style="0" bestFit="1" customWidth="1"/>
    <col min="13" max="13" width="15.00390625" style="0" customWidth="1"/>
    <col min="14" max="14" width="15.8515625" style="0" bestFit="1" customWidth="1"/>
    <col min="16" max="16" width="9.00390625" style="0" customWidth="1"/>
    <col min="17" max="17" width="15.57421875" style="0" customWidth="1"/>
  </cols>
  <sheetData>
    <row r="1" spans="1:11" ht="12.75">
      <c r="A1" t="s">
        <v>0</v>
      </c>
      <c r="B1" t="s">
        <v>1</v>
      </c>
      <c r="J1" t="s">
        <v>0</v>
      </c>
      <c r="K1" t="s">
        <v>1</v>
      </c>
    </row>
    <row r="2" spans="2:11" ht="12.75">
      <c r="B2" t="s">
        <v>2</v>
      </c>
      <c r="K2" t="s">
        <v>2</v>
      </c>
    </row>
    <row r="5" spans="11:13" ht="12.75">
      <c r="K5" s="23"/>
      <c r="L5" s="6" t="s">
        <v>11</v>
      </c>
      <c r="M5" s="21" t="s">
        <v>11</v>
      </c>
    </row>
    <row r="6" spans="11:16" ht="12.75">
      <c r="K6" s="24" t="s">
        <v>3</v>
      </c>
      <c r="L6" s="4" t="s">
        <v>4</v>
      </c>
      <c r="M6" s="22" t="s">
        <v>8</v>
      </c>
      <c r="N6" s="1"/>
      <c r="O6" s="1"/>
      <c r="P6" s="1"/>
    </row>
    <row r="7" spans="11:17" ht="12.75">
      <c r="K7" s="25">
        <v>0</v>
      </c>
      <c r="L7" s="28"/>
      <c r="M7" s="31">
        <f>Q9*-1</f>
        <v>-3000000</v>
      </c>
      <c r="N7" s="1"/>
      <c r="O7" s="1"/>
      <c r="P7" s="1"/>
      <c r="Q7" s="8" t="s">
        <v>5</v>
      </c>
    </row>
    <row r="8" spans="11:17" ht="12.75">
      <c r="K8" s="26">
        <v>1</v>
      </c>
      <c r="L8" s="29">
        <f>($Q$13*(1+$Q$17)^(K8-1))/(1+$Q$28)^K8</f>
        <v>238791.42300194933</v>
      </c>
      <c r="M8" s="29">
        <f>-1*($Q$20+$Q$24*(K8-1))/(1+$Q$28)^K8</f>
        <v>-92592.59259259258</v>
      </c>
      <c r="N8" s="1"/>
      <c r="O8" s="1"/>
      <c r="P8" s="1"/>
      <c r="Q8" s="7" t="s">
        <v>10</v>
      </c>
    </row>
    <row r="9" spans="11:17" ht="12.75">
      <c r="K9" s="26">
        <v>2</v>
      </c>
      <c r="L9" s="29">
        <f aca="true" t="shared" si="0" ref="L9:L30">($Q$13*(1+$Q$17)^(K9-1))/(1+$Q$28)^K9</f>
        <v>242049.78549905194</v>
      </c>
      <c r="M9" s="29">
        <f aca="true" t="shared" si="1" ref="M9:M31">-1*($Q$20+$Q$24*(K9-1))/(1+$Q$28)^K9</f>
        <v>-94995.99116917266</v>
      </c>
      <c r="N9" s="1"/>
      <c r="O9" s="1"/>
      <c r="P9" s="1"/>
      <c r="Q9" s="10">
        <v>3000000</v>
      </c>
    </row>
    <row r="10" spans="11:17" ht="12.75">
      <c r="K10" s="26">
        <v>3</v>
      </c>
      <c r="L10" s="29">
        <f t="shared" si="0"/>
        <v>245352.60908285965</v>
      </c>
      <c r="M10" s="29">
        <f t="shared" si="1"/>
        <v>-97218.11961757435</v>
      </c>
      <c r="N10" s="1"/>
      <c r="O10" s="1"/>
      <c r="P10" s="1"/>
      <c r="Q10" s="11"/>
    </row>
    <row r="11" spans="11:17" ht="12.75">
      <c r="K11" s="26">
        <v>4</v>
      </c>
      <c r="L11" s="29">
        <f t="shared" si="0"/>
        <v>248700.5004348675</v>
      </c>
      <c r="M11" s="29">
        <f t="shared" si="1"/>
        <v>-99266.62172034883</v>
      </c>
      <c r="N11" s="1"/>
      <c r="O11" s="1"/>
      <c r="P11" s="1"/>
      <c r="Q11" s="11"/>
    </row>
    <row r="12" spans="11:17" ht="12.75">
      <c r="K12" s="26">
        <v>5</v>
      </c>
      <c r="L12" s="29">
        <f t="shared" si="0"/>
        <v>252094.07451487548</v>
      </c>
      <c r="M12" s="29">
        <f t="shared" si="1"/>
        <v>-101148.87026262729</v>
      </c>
      <c r="N12" s="1"/>
      <c r="O12" s="1"/>
      <c r="P12" s="1"/>
      <c r="Q12" s="10" t="s">
        <v>4</v>
      </c>
    </row>
    <row r="13" spans="11:17" ht="12.75">
      <c r="K13" s="26">
        <v>6</v>
      </c>
      <c r="L13" s="29">
        <f t="shared" si="0"/>
        <v>255533.9546739479</v>
      </c>
      <c r="M13" s="29">
        <f t="shared" si="1"/>
        <v>-102871.97585825303</v>
      </c>
      <c r="N13" s="1"/>
      <c r="O13" s="1"/>
      <c r="P13" s="1"/>
      <c r="Q13" s="12">
        <v>245000</v>
      </c>
    </row>
    <row r="14" spans="11:17" ht="12.75">
      <c r="K14" s="26">
        <v>7</v>
      </c>
      <c r="L14" s="29">
        <f t="shared" si="0"/>
        <v>259020.77276891406</v>
      </c>
      <c r="M14" s="29">
        <f t="shared" si="1"/>
        <v>-104442.79550261232</v>
      </c>
      <c r="N14" s="1"/>
      <c r="O14" s="1"/>
      <c r="P14" s="1"/>
      <c r="Q14" s="5"/>
    </row>
    <row r="15" spans="11:17" ht="12.75">
      <c r="K15" s="26">
        <v>8</v>
      </c>
      <c r="L15" s="29">
        <f t="shared" si="0"/>
        <v>262555.1692784314</v>
      </c>
      <c r="M15" s="29">
        <f t="shared" si="1"/>
        <v>-105867.94086034778</v>
      </c>
      <c r="N15" s="1"/>
      <c r="O15" s="1"/>
      <c r="P15" s="1"/>
      <c r="Q15" s="6" t="s">
        <v>6</v>
      </c>
    </row>
    <row r="16" spans="11:17" ht="12.75">
      <c r="K16" s="26">
        <v>9</v>
      </c>
      <c r="L16" s="29">
        <f t="shared" si="0"/>
        <v>266137.79342063225</v>
      </c>
      <c r="M16" s="29">
        <f t="shared" si="1"/>
        <v>-107153.78629589856</v>
      </c>
      <c r="N16" s="1"/>
      <c r="O16" s="1"/>
      <c r="P16" s="1"/>
      <c r="Q16" s="4" t="s">
        <v>7</v>
      </c>
    </row>
    <row r="17" spans="11:17" ht="12.75">
      <c r="K17" s="26">
        <v>10</v>
      </c>
      <c r="L17" s="29">
        <f t="shared" si="0"/>
        <v>269769.30327237584</v>
      </c>
      <c r="M17" s="29">
        <f t="shared" si="1"/>
        <v>-108306.47665457946</v>
      </c>
      <c r="N17" s="1"/>
      <c r="O17" s="1"/>
      <c r="P17" s="1"/>
      <c r="Q17" s="9">
        <v>0.04</v>
      </c>
    </row>
    <row r="18" spans="11:17" ht="12.75">
      <c r="K18" s="26">
        <v>11</v>
      </c>
      <c r="L18" s="29">
        <f t="shared" si="0"/>
        <v>273450.3658901275</v>
      </c>
      <c r="M18" s="29">
        <f t="shared" si="1"/>
        <v>-109331.93480168491</v>
      </c>
      <c r="N18" s="1"/>
      <c r="O18" s="1"/>
      <c r="P18" s="1"/>
      <c r="Q18" s="5"/>
    </row>
    <row r="19" spans="11:17" ht="12.75">
      <c r="K19" s="26">
        <v>12</v>
      </c>
      <c r="L19" s="29">
        <f t="shared" si="0"/>
        <v>277181.65743248793</v>
      </c>
      <c r="M19" s="29">
        <f t="shared" si="1"/>
        <v>-110235.86892688538</v>
      </c>
      <c r="N19" s="1"/>
      <c r="O19" s="1"/>
      <c r="P19" s="1"/>
      <c r="Q19" s="7" t="s">
        <v>8</v>
      </c>
    </row>
    <row r="20" spans="11:17" ht="12.75">
      <c r="K20" s="26">
        <v>13</v>
      </c>
      <c r="L20" s="29">
        <f t="shared" si="0"/>
        <v>280963.8632843933</v>
      </c>
      <c r="M20" s="29">
        <f t="shared" si="1"/>
        <v>-111023.77962096967</v>
      </c>
      <c r="N20" s="1"/>
      <c r="O20" s="1"/>
      <c r="P20" s="1"/>
      <c r="Q20" s="10">
        <v>95000</v>
      </c>
    </row>
    <row r="21" spans="11:17" ht="12.75">
      <c r="K21" s="26">
        <v>14</v>
      </c>
      <c r="L21" s="29">
        <f t="shared" si="0"/>
        <v>284797.6781830107</v>
      </c>
      <c r="M21" s="29">
        <f t="shared" si="1"/>
        <v>-111700.9667317811</v>
      </c>
      <c r="N21" s="1"/>
      <c r="O21" s="1"/>
      <c r="P21" s="1"/>
      <c r="Q21" s="13"/>
    </row>
    <row r="22" spans="11:17" ht="12.75">
      <c r="K22" s="26">
        <v>15</v>
      </c>
      <c r="L22" s="29">
        <f t="shared" si="0"/>
        <v>288683.80634535203</v>
      </c>
      <c r="M22" s="29">
        <f t="shared" si="1"/>
        <v>-112272.53600599343</v>
      </c>
      <c r="N22" s="1"/>
      <c r="O22" s="1"/>
      <c r="P22" s="1"/>
      <c r="Q22" s="14" t="s">
        <v>6</v>
      </c>
    </row>
    <row r="23" spans="11:17" ht="12.75">
      <c r="K23" s="26">
        <v>16</v>
      </c>
      <c r="L23" s="29">
        <f t="shared" si="0"/>
        <v>292622.9615976278</v>
      </c>
      <c r="M23" s="29">
        <f t="shared" si="1"/>
        <v>-112743.40552317847</v>
      </c>
      <c r="N23" s="1"/>
      <c r="O23" s="1"/>
      <c r="P23" s="1"/>
      <c r="Q23" s="12" t="s">
        <v>9</v>
      </c>
    </row>
    <row r="24" spans="11:17" ht="12.75">
      <c r="K24" s="26">
        <v>17</v>
      </c>
      <c r="L24" s="29">
        <f t="shared" si="0"/>
        <v>296615.8675063674</v>
      </c>
      <c r="M24" s="29">
        <f t="shared" si="1"/>
        <v>-113118.31192842696</v>
      </c>
      <c r="N24" s="1"/>
      <c r="O24" s="1"/>
      <c r="P24" s="1"/>
      <c r="Q24" s="10">
        <v>5000</v>
      </c>
    </row>
    <row r="25" spans="11:16" ht="12.75">
      <c r="K25" s="26">
        <v>18</v>
      </c>
      <c r="L25" s="29">
        <f t="shared" si="0"/>
        <v>300663.2575113276</v>
      </c>
      <c r="M25" s="29">
        <f t="shared" si="1"/>
        <v>-113401.81646960099</v>
      </c>
      <c r="N25" s="1"/>
      <c r="O25" s="1"/>
      <c r="P25" s="1"/>
    </row>
    <row r="26" spans="11:17" ht="12.75">
      <c r="K26" s="26">
        <v>19</v>
      </c>
      <c r="L26" s="29">
        <f t="shared" si="0"/>
        <v>304765.8750602151</v>
      </c>
      <c r="M26" s="29">
        <f t="shared" si="1"/>
        <v>-113598.31084511684</v>
      </c>
      <c r="N26" s="1"/>
      <c r="O26" s="1"/>
      <c r="P26" s="1"/>
      <c r="Q26" s="6" t="s">
        <v>17</v>
      </c>
    </row>
    <row r="27" spans="11:17" ht="12.75">
      <c r="K27" s="26">
        <v>20</v>
      </c>
      <c r="L27" s="29">
        <f t="shared" si="0"/>
        <v>308924.47374524735</v>
      </c>
      <c r="M27" s="29">
        <f t="shared" si="1"/>
        <v>-113712.02286798485</v>
      </c>
      <c r="Q27" s="12" t="s">
        <v>16</v>
      </c>
    </row>
    <row r="28" spans="11:17" ht="12.75">
      <c r="K28" s="26">
        <v>21</v>
      </c>
      <c r="L28" s="29">
        <f t="shared" si="0"/>
        <v>313139.8174415762</v>
      </c>
      <c r="M28" s="29">
        <f t="shared" si="1"/>
        <v>-113747.02195166227</v>
      </c>
      <c r="Q28" s="15">
        <v>0.026</v>
      </c>
    </row>
    <row r="29" spans="11:13" ht="12.75">
      <c r="K29" s="26">
        <v>22</v>
      </c>
      <c r="L29" s="29">
        <f t="shared" si="0"/>
        <v>317412.6804476017</v>
      </c>
      <c r="M29" s="29">
        <f t="shared" si="1"/>
        <v>-113707.2244231142</v>
      </c>
    </row>
    <row r="30" spans="11:17" ht="12.75">
      <c r="K30" s="26">
        <v>23</v>
      </c>
      <c r="L30" s="29">
        <f t="shared" si="0"/>
        <v>321743.8476271986</v>
      </c>
      <c r="M30" s="29">
        <f t="shared" si="1"/>
        <v>-113596.39866831583</v>
      </c>
      <c r="Q30" s="6" t="s">
        <v>14</v>
      </c>
    </row>
    <row r="31" spans="11:17" ht="12.75">
      <c r="K31" s="27">
        <v>24</v>
      </c>
      <c r="L31" s="30">
        <f>($Q$13*(1+$Q$17)^(K31-1))/(1+$Q$28)^K31+Q32/(1+$Q$28)^K31</f>
        <v>1028246.5962198895</v>
      </c>
      <c r="M31" s="30">
        <f t="shared" si="1"/>
        <v>-113418.17011527755</v>
      </c>
      <c r="Q31" s="4" t="s">
        <v>15</v>
      </c>
    </row>
    <row r="32" ht="12.75">
      <c r="Q32" s="4">
        <v>1300000</v>
      </c>
    </row>
    <row r="33" spans="11:13" ht="12.75">
      <c r="K33" s="16" t="s">
        <v>12</v>
      </c>
      <c r="L33" s="20"/>
      <c r="M33" s="19">
        <f>SUM(L7:L32)</f>
        <v>7429218.134240329</v>
      </c>
    </row>
    <row r="34" spans="11:13" ht="12.75">
      <c r="K34" s="3" t="s">
        <v>13</v>
      </c>
      <c r="L34" s="3"/>
      <c r="M34" s="19">
        <f>SUM(M7:M32)</f>
        <v>-5589472.939414</v>
      </c>
    </row>
    <row r="35" spans="11:13" ht="12.75">
      <c r="K35" s="16" t="s">
        <v>19</v>
      </c>
      <c r="L35" s="33"/>
      <c r="M35" s="18">
        <f>SUM(M33:M34)</f>
        <v>1839745.1948263291</v>
      </c>
    </row>
    <row r="39" spans="11:12" ht="12.75">
      <c r="K39" s="58" t="s">
        <v>43</v>
      </c>
      <c r="L39" s="50" t="s">
        <v>44</v>
      </c>
    </row>
    <row r="41" spans="11:14" ht="12.75">
      <c r="K41" s="44" t="s">
        <v>4</v>
      </c>
      <c r="L41" s="54">
        <f>($Q$13/($Q$28-$Q$17)*(1-((1+$Q$17)/(1+$Q$28))^24))+Q32/(1+$Q$28)^24</f>
        <v>7429218.134240303</v>
      </c>
      <c r="M41" s="51" t="s">
        <v>38</v>
      </c>
      <c r="N41" s="54">
        <f>-$Q$9</f>
        <v>-3000000</v>
      </c>
    </row>
    <row r="42" spans="11:14" ht="12.75">
      <c r="K42" s="45"/>
      <c r="L42" s="46"/>
      <c r="M42" s="52"/>
      <c r="N42" s="46"/>
    </row>
    <row r="43" spans="11:17" ht="12.75">
      <c r="K43" s="45"/>
      <c r="L43" s="46"/>
      <c r="M43" s="53" t="s">
        <v>39</v>
      </c>
      <c r="N43" s="54">
        <f>-1*(($Q$24/$Q$28)*(((1+$Q$28)^24-1)/((1+$Q$28)^24*$Q$28)-24/(1+$Q$28)^24)+PV($Q$28,24,-$Q$20))</f>
        <v>-2589472.9394139955</v>
      </c>
      <c r="Q43" s="50"/>
    </row>
    <row r="44" spans="11:17" ht="12.75">
      <c r="K44" s="45"/>
      <c r="L44" s="46"/>
      <c r="M44" s="45"/>
      <c r="N44" s="46"/>
      <c r="Q44" s="56"/>
    </row>
    <row r="45" spans="11:17" ht="12.75">
      <c r="K45" s="45"/>
      <c r="L45" s="46"/>
      <c r="M45" s="53" t="s">
        <v>40</v>
      </c>
      <c r="N45" s="54">
        <f>SUM(N41:N43)</f>
        <v>-5589472.9394139955</v>
      </c>
      <c r="Q45" s="50"/>
    </row>
    <row r="46" spans="11:14" ht="12.75">
      <c r="K46" s="34"/>
      <c r="L46" s="49"/>
      <c r="M46" s="34"/>
      <c r="N46" s="49"/>
    </row>
    <row r="47" spans="11:14" ht="12.75">
      <c r="K47" t="s">
        <v>18</v>
      </c>
      <c r="M47" s="57" t="s">
        <v>41</v>
      </c>
      <c r="N47" s="55">
        <f>L41+N45</f>
        <v>1839745.1948263077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K41">
      <selection activeCell="O48" sqref="O48"/>
    </sheetView>
  </sheetViews>
  <sheetFormatPr defaultColWidth="11.421875" defaultRowHeight="12.75"/>
  <cols>
    <col min="11" max="11" width="12.28125" style="0" customWidth="1"/>
    <col min="12" max="12" width="9.28125" style="0" customWidth="1"/>
    <col min="13" max="13" width="12.7109375" style="0" bestFit="1" customWidth="1"/>
    <col min="14" max="14" width="17.00390625" style="0" bestFit="1" customWidth="1"/>
    <col min="15" max="15" width="17.57421875" style="0" customWidth="1"/>
    <col min="16" max="16" width="17.140625" style="0" customWidth="1"/>
    <col min="17" max="17" width="12.140625" style="0" customWidth="1"/>
    <col min="18" max="18" width="15.140625" style="0" customWidth="1"/>
    <col min="19" max="19" width="16.8515625" style="0" customWidth="1"/>
    <col min="20" max="20" width="14.8515625" style="0" customWidth="1"/>
  </cols>
  <sheetData>
    <row r="1" spans="1:14" ht="12.75">
      <c r="A1" t="s">
        <v>20</v>
      </c>
      <c r="B1" t="s">
        <v>1</v>
      </c>
      <c r="M1" t="s">
        <v>0</v>
      </c>
      <c r="N1" t="s">
        <v>1</v>
      </c>
    </row>
    <row r="2" spans="2:14" ht="12.75">
      <c r="B2" t="s">
        <v>2</v>
      </c>
      <c r="N2" t="s">
        <v>2</v>
      </c>
    </row>
    <row r="5" spans="13:16" ht="12.75">
      <c r="M5" s="6" t="s">
        <v>3</v>
      </c>
      <c r="N5" s="6" t="s">
        <v>11</v>
      </c>
      <c r="O5" s="6" t="s">
        <v>3</v>
      </c>
      <c r="P5" s="21" t="s">
        <v>37</v>
      </c>
    </row>
    <row r="6" spans="13:20" ht="12.75">
      <c r="M6" s="35" t="s">
        <v>28</v>
      </c>
      <c r="N6" s="35" t="s">
        <v>4</v>
      </c>
      <c r="O6" s="35" t="s">
        <v>29</v>
      </c>
      <c r="P6" s="36" t="s">
        <v>8</v>
      </c>
      <c r="Q6" s="1"/>
      <c r="R6" s="38"/>
      <c r="S6" s="8" t="s">
        <v>26</v>
      </c>
      <c r="T6" s="39"/>
    </row>
    <row r="7" spans="13:19" ht="12.75">
      <c r="M7" s="25">
        <v>0</v>
      </c>
      <c r="N7" s="28"/>
      <c r="O7" s="25">
        <v>0</v>
      </c>
      <c r="P7" s="31">
        <f>R22*-1</f>
        <v>-15000000</v>
      </c>
      <c r="Q7" s="1"/>
      <c r="R7" s="1"/>
      <c r="S7" s="1"/>
    </row>
    <row r="8" spans="13:17" ht="12.75">
      <c r="M8" s="26">
        <v>1</v>
      </c>
      <c r="N8" s="29">
        <f aca="true" t="shared" si="0" ref="N8:N18">($T$13*(1+$T$17)^(M8-1))/(1+$S$13)^M8</f>
        <v>3277767.3721670723</v>
      </c>
      <c r="O8" s="26">
        <v>1</v>
      </c>
      <c r="P8" s="29">
        <f aca="true" t="shared" si="1" ref="P8:P18">-1*($T$25*(1+$T$29)^(O8-1)/(1+$T$33)^O8)</f>
        <v>-684864.4946678408</v>
      </c>
      <c r="Q8" s="1"/>
    </row>
    <row r="9" spans="13:17" ht="12.75">
      <c r="M9" s="26">
        <v>2</v>
      </c>
      <c r="N9" s="29">
        <f t="shared" si="0"/>
        <v>3376609.954470668</v>
      </c>
      <c r="O9" s="26">
        <v>2</v>
      </c>
      <c r="P9" s="29">
        <f t="shared" si="1"/>
        <v>-690157.9390547656</v>
      </c>
      <c r="Q9" s="1"/>
    </row>
    <row r="10" spans="13:20" ht="12.75">
      <c r="M10" s="26">
        <v>3</v>
      </c>
      <c r="N10" s="29">
        <f t="shared" si="0"/>
        <v>3478433.1802938143</v>
      </c>
      <c r="O10" s="26">
        <v>3</v>
      </c>
      <c r="P10" s="29">
        <f t="shared" si="1"/>
        <v>-695492.2974527037</v>
      </c>
      <c r="Q10" s="1"/>
      <c r="R10" s="1"/>
      <c r="S10" s="1"/>
      <c r="T10" s="11"/>
    </row>
    <row r="11" spans="13:20" ht="12.75">
      <c r="M11" s="26">
        <v>4</v>
      </c>
      <c r="N11" s="29">
        <f t="shared" si="0"/>
        <v>3583326.9323124145</v>
      </c>
      <c r="O11" s="26">
        <v>4</v>
      </c>
      <c r="P11" s="29">
        <f t="shared" si="1"/>
        <v>-700867.886093616</v>
      </c>
      <c r="Q11" s="1"/>
      <c r="R11" s="1"/>
      <c r="S11" s="6" t="s">
        <v>23</v>
      </c>
      <c r="T11" s="14" t="s">
        <v>4</v>
      </c>
    </row>
    <row r="12" spans="13:20" ht="12.75">
      <c r="M12" s="26">
        <v>5</v>
      </c>
      <c r="N12" s="29">
        <f t="shared" si="0"/>
        <v>3691383.8036557925</v>
      </c>
      <c r="O12" s="26">
        <v>5</v>
      </c>
      <c r="P12" s="29">
        <f t="shared" si="1"/>
        <v>-706285.0236536781</v>
      </c>
      <c r="Q12" s="1"/>
      <c r="R12" s="1"/>
      <c r="S12" s="12" t="s">
        <v>25</v>
      </c>
      <c r="T12" s="12" t="s">
        <v>21</v>
      </c>
    </row>
    <row r="13" spans="13:20" ht="12.75">
      <c r="M13" s="26">
        <v>6</v>
      </c>
      <c r="N13" s="29">
        <f t="shared" si="0"/>
        <v>3802699.1796416664</v>
      </c>
      <c r="O13" s="26">
        <v>6</v>
      </c>
      <c r="P13" s="29">
        <f t="shared" si="1"/>
        <v>-711744.0312721735</v>
      </c>
      <c r="Q13" s="1"/>
      <c r="R13" s="1"/>
      <c r="S13" s="15">
        <v>0.0678</v>
      </c>
      <c r="T13" s="12">
        <v>3500000</v>
      </c>
    </row>
    <row r="14" spans="13:20" ht="12.75">
      <c r="M14" s="26">
        <v>7</v>
      </c>
      <c r="N14" s="29">
        <f t="shared" si="0"/>
        <v>3917371.321975869</v>
      </c>
      <c r="O14" s="26">
        <v>7</v>
      </c>
      <c r="P14" s="29">
        <f t="shared" si="1"/>
        <v>-717245.2325705299</v>
      </c>
      <c r="Q14" s="1"/>
      <c r="R14" s="1"/>
      <c r="S14" s="1"/>
      <c r="T14" s="5"/>
    </row>
    <row r="15" spans="13:20" ht="12.75">
      <c r="M15" s="26">
        <v>8</v>
      </c>
      <c r="N15" s="29">
        <f t="shared" si="0"/>
        <v>4035501.455491156</v>
      </c>
      <c r="O15" s="26">
        <v>8</v>
      </c>
      <c r="P15" s="29">
        <f t="shared" si="1"/>
        <v>-722788.9536715056</v>
      </c>
      <c r="Q15" s="1"/>
      <c r="R15" s="1"/>
      <c r="S15" s="6" t="s">
        <v>14</v>
      </c>
      <c r="T15" s="6" t="s">
        <v>6</v>
      </c>
    </row>
    <row r="16" spans="13:20" ht="12.75">
      <c r="M16" s="26">
        <v>9</v>
      </c>
      <c r="N16" s="29">
        <f t="shared" si="0"/>
        <v>4157193.857501658</v>
      </c>
      <c r="O16" s="26">
        <v>9</v>
      </c>
      <c r="P16" s="29">
        <f t="shared" si="1"/>
        <v>-728375.5232185213</v>
      </c>
      <c r="Q16" s="1"/>
      <c r="R16" s="1"/>
      <c r="S16" s="4" t="s">
        <v>15</v>
      </c>
      <c r="T16" s="4" t="s">
        <v>7</v>
      </c>
    </row>
    <row r="17" spans="13:20" ht="12.75">
      <c r="M17" s="26">
        <v>10</v>
      </c>
      <c r="N17" s="29">
        <f t="shared" si="0"/>
        <v>4282555.949851868</v>
      </c>
      <c r="O17" s="26">
        <v>10</v>
      </c>
      <c r="P17" s="29">
        <f t="shared" si="1"/>
        <v>-734005.2723951443</v>
      </c>
      <c r="Q17" s="1"/>
      <c r="R17" s="1"/>
      <c r="S17" s="12">
        <v>8500000</v>
      </c>
      <c r="T17" s="9">
        <v>0.1</v>
      </c>
    </row>
    <row r="18" spans="13:20" ht="12.75">
      <c r="M18" s="26">
        <v>11</v>
      </c>
      <c r="N18" s="29">
        <f t="shared" si="0"/>
        <v>4411698.393741389</v>
      </c>
      <c r="O18" s="26">
        <v>11</v>
      </c>
      <c r="P18" s="29">
        <f t="shared" si="1"/>
        <v>-739678.5349447202</v>
      </c>
      <c r="Q18" s="1"/>
      <c r="R18" s="1"/>
      <c r="S18" s="1"/>
      <c r="T18" s="5"/>
    </row>
    <row r="19" spans="13:20" ht="12.75">
      <c r="M19" s="26">
        <v>12</v>
      </c>
      <c r="N19" s="29">
        <f>($T$13*(1+$T$17)^(M19-1))/(1+$S$13)^M19+S17/(1+$S$13)^M19</f>
        <v>8413211.370990725</v>
      </c>
      <c r="O19" s="26">
        <v>12</v>
      </c>
      <c r="P19" s="29">
        <f>-1*($T$25*(1+$T$29)^(O19-1)/(1+$T$33)^O19+S22/(1+$T$33)^O19)</f>
        <v>-4591750.4687207</v>
      </c>
      <c r="Q19" s="1"/>
      <c r="R19" s="38"/>
      <c r="S19" s="8" t="s">
        <v>27</v>
      </c>
      <c r="T19" s="39"/>
    </row>
    <row r="20" spans="13:19" ht="12.75">
      <c r="M20" s="26"/>
      <c r="N20" s="29" t="s">
        <v>18</v>
      </c>
      <c r="O20" s="26">
        <v>13</v>
      </c>
      <c r="P20" s="29">
        <f>-1*($T$25*(1+$T$29)^(O20-1)/(1+$T$33)^O20)</f>
        <v>-751156.9480538735</v>
      </c>
      <c r="Q20" s="1"/>
      <c r="R20" s="1"/>
      <c r="S20" s="1"/>
    </row>
    <row r="21" spans="13:20" ht="12.75">
      <c r="M21" s="26"/>
      <c r="N21" s="29"/>
      <c r="O21" s="26">
        <v>14</v>
      </c>
      <c r="P21" s="29">
        <f>-1*($T$25*(1+$T$29)^(O21-1)/(1+$T$33)^O21)</f>
        <v>-756962.7790778689</v>
      </c>
      <c r="Q21" s="1"/>
      <c r="R21" s="7" t="s">
        <v>30</v>
      </c>
      <c r="S21" s="7" t="s">
        <v>31</v>
      </c>
      <c r="T21" s="2" t="s">
        <v>32</v>
      </c>
    </row>
    <row r="22" spans="13:20" ht="12.75">
      <c r="M22" s="26"/>
      <c r="N22" s="29"/>
      <c r="O22" s="26">
        <v>15</v>
      </c>
      <c r="P22" s="29">
        <f>-1*($T$25*(1+$T$29)^(O22-1)/(1+$T$33)^O22)</f>
        <v>-762813.4844439926</v>
      </c>
      <c r="Q22" s="1"/>
      <c r="R22" s="10">
        <v>15000000</v>
      </c>
      <c r="S22" s="10">
        <v>5000000</v>
      </c>
      <c r="T22" s="42">
        <v>2000000</v>
      </c>
    </row>
    <row r="23" spans="13:19" ht="12.75">
      <c r="M23" s="26"/>
      <c r="N23" s="29"/>
      <c r="O23" s="26">
        <v>16</v>
      </c>
      <c r="P23" s="29">
        <f>-1*($T$25*(1+$T$29)^(O23-1)/(1+$T$33)^O23)</f>
        <v>-768709.4109943379</v>
      </c>
      <c r="Q23" s="1"/>
      <c r="R23" s="1"/>
      <c r="S23" s="1"/>
    </row>
    <row r="24" spans="13:20" ht="12.75">
      <c r="M24" s="26"/>
      <c r="N24" s="29"/>
      <c r="O24" s="26">
        <v>17</v>
      </c>
      <c r="P24" s="29">
        <f>-1*($T$25*(1+$T$29)^(O24-1)/(1+$T$33)^O24)</f>
        <v>-774650.9082518029</v>
      </c>
      <c r="Q24" s="1"/>
      <c r="R24" s="1"/>
      <c r="S24" s="1"/>
      <c r="T24" s="7" t="s">
        <v>22</v>
      </c>
    </row>
    <row r="25" spans="13:20" ht="12.75">
      <c r="M25" s="26"/>
      <c r="N25" s="29"/>
      <c r="O25" s="26">
        <v>18</v>
      </c>
      <c r="P25" s="29">
        <f>-1*($T$25*(1+$T$29)^(O25-1)/(1+$T$33)^O25+T22/(1+$T$33)^O25)</f>
        <v>-2130064.119765001</v>
      </c>
      <c r="Q25" s="1"/>
      <c r="R25" s="1"/>
      <c r="S25" s="1"/>
      <c r="T25" s="10">
        <v>700000</v>
      </c>
    </row>
    <row r="26" spans="13:20" ht="12.75">
      <c r="M26" s="26"/>
      <c r="N26" s="29"/>
      <c r="O26" s="26">
        <v>19</v>
      </c>
      <c r="P26" s="29">
        <f aca="true" t="shared" si="2" ref="P26:P43">-1*($T$25*(1+$T$29)^(O26-1)/(1+$T$33)^O26)</f>
        <v>-786672.026508208</v>
      </c>
      <c r="Q26" s="1"/>
      <c r="R26" s="1"/>
      <c r="T26" s="13"/>
    </row>
    <row r="27" spans="13:20" ht="12.75">
      <c r="M27" s="26"/>
      <c r="N27" s="29"/>
      <c r="O27" s="26">
        <v>20</v>
      </c>
      <c r="P27" s="29">
        <f t="shared" si="2"/>
        <v>-792752.3601442659</v>
      </c>
      <c r="T27" s="14" t="s">
        <v>6</v>
      </c>
    </row>
    <row r="28" spans="13:20" ht="12.75">
      <c r="M28" s="26"/>
      <c r="N28" s="29"/>
      <c r="O28" s="26">
        <v>21</v>
      </c>
      <c r="P28" s="29">
        <f t="shared" si="2"/>
        <v>-798879.6898039272</v>
      </c>
      <c r="T28" s="12" t="s">
        <v>9</v>
      </c>
    </row>
    <row r="29" spans="13:20" ht="12.75">
      <c r="M29" s="26"/>
      <c r="N29" s="29"/>
      <c r="O29" s="26">
        <v>22</v>
      </c>
      <c r="P29" s="29">
        <f t="shared" si="2"/>
        <v>-805054.3787281527</v>
      </c>
      <c r="T29" s="9">
        <v>0.03</v>
      </c>
    </row>
    <row r="30" spans="13:16" ht="12.75">
      <c r="M30" s="26"/>
      <c r="N30" s="29"/>
      <c r="O30" s="26">
        <v>23</v>
      </c>
      <c r="P30" s="29">
        <f t="shared" si="2"/>
        <v>-811276.7929654606</v>
      </c>
    </row>
    <row r="31" spans="13:20" ht="12.75">
      <c r="M31" s="26"/>
      <c r="N31" s="29"/>
      <c r="O31" s="26">
        <v>24</v>
      </c>
      <c r="P31" s="29">
        <f t="shared" si="2"/>
        <v>-817547.3013936253</v>
      </c>
      <c r="T31" s="6" t="s">
        <v>23</v>
      </c>
    </row>
    <row r="32" spans="13:20" ht="12.75">
      <c r="M32" s="26"/>
      <c r="N32" s="37"/>
      <c r="O32" s="26">
        <v>25</v>
      </c>
      <c r="P32" s="29">
        <f t="shared" si="2"/>
        <v>-823866.2757415458</v>
      </c>
      <c r="T32" s="12" t="s">
        <v>24</v>
      </c>
    </row>
    <row r="33" spans="13:20" ht="12.75">
      <c r="M33" s="26"/>
      <c r="N33" s="37"/>
      <c r="O33" s="26">
        <v>26</v>
      </c>
      <c r="P33" s="29">
        <f t="shared" si="2"/>
        <v>-830234.0906112829</v>
      </c>
      <c r="T33" s="15">
        <v>0.0221</v>
      </c>
    </row>
    <row r="34" spans="13:16" ht="12.75">
      <c r="M34" s="26"/>
      <c r="N34" s="37"/>
      <c r="O34" s="26">
        <v>27</v>
      </c>
      <c r="P34" s="29">
        <f t="shared" si="2"/>
        <v>-836651.1235002654</v>
      </c>
    </row>
    <row r="35" spans="13:16" ht="12.75">
      <c r="M35" s="26"/>
      <c r="N35" s="37"/>
      <c r="O35" s="26">
        <v>28</v>
      </c>
      <c r="P35" s="29">
        <f t="shared" si="2"/>
        <v>-843117.7548236705</v>
      </c>
    </row>
    <row r="36" spans="13:16" ht="12.75">
      <c r="M36" s="26"/>
      <c r="N36" s="37"/>
      <c r="O36" s="26">
        <v>29</v>
      </c>
      <c r="P36" s="29">
        <f t="shared" si="2"/>
        <v>-849634.3679369733</v>
      </c>
    </row>
    <row r="37" spans="13:16" ht="12.75">
      <c r="M37" s="26"/>
      <c r="N37" s="37"/>
      <c r="O37" s="26">
        <v>30</v>
      </c>
      <c r="P37" s="29">
        <f t="shared" si="2"/>
        <v>-856201.3491586758</v>
      </c>
    </row>
    <row r="38" spans="13:16" ht="12.75">
      <c r="M38" s="26"/>
      <c r="N38" s="37"/>
      <c r="O38" s="26">
        <v>31</v>
      </c>
      <c r="P38" s="29">
        <f t="shared" si="2"/>
        <v>-862819.0877932061</v>
      </c>
    </row>
    <row r="39" spans="13:16" ht="12.75">
      <c r="M39" s="26"/>
      <c r="N39" s="37"/>
      <c r="O39" s="26">
        <v>32</v>
      </c>
      <c r="P39" s="29">
        <f t="shared" si="2"/>
        <v>-869487.9761539991</v>
      </c>
    </row>
    <row r="40" spans="13:16" ht="12.75">
      <c r="M40" s="26"/>
      <c r="N40" s="37"/>
      <c r="O40" s="26">
        <v>33</v>
      </c>
      <c r="P40" s="29">
        <f t="shared" si="2"/>
        <v>-876208.4095867517</v>
      </c>
    </row>
    <row r="41" spans="13:16" ht="12.75">
      <c r="M41" s="26"/>
      <c r="N41" s="37"/>
      <c r="O41" s="26">
        <v>34</v>
      </c>
      <c r="P41" s="29">
        <f t="shared" si="2"/>
        <v>-882980.7864928619</v>
      </c>
    </row>
    <row r="42" spans="13:16" ht="12.75">
      <c r="M42" s="26"/>
      <c r="N42" s="37"/>
      <c r="O42" s="26">
        <v>35</v>
      </c>
      <c r="P42" s="29">
        <f t="shared" si="2"/>
        <v>-889805.5083530452</v>
      </c>
    </row>
    <row r="43" spans="13:16" ht="12.75">
      <c r="M43" s="26"/>
      <c r="N43" s="37"/>
      <c r="O43" s="26">
        <v>36</v>
      </c>
      <c r="P43" s="29">
        <f t="shared" si="2"/>
        <v>-896682.9797511367</v>
      </c>
    </row>
    <row r="44" spans="12:16" ht="12.75">
      <c r="L44" s="16" t="s">
        <v>12</v>
      </c>
      <c r="M44" s="47"/>
      <c r="N44" s="20"/>
      <c r="O44" s="20"/>
      <c r="P44" s="19">
        <f>SUM(N7:N32)</f>
        <v>50427752.77209409</v>
      </c>
    </row>
    <row r="45" spans="12:16" ht="12.75">
      <c r="L45" s="3" t="s">
        <v>13</v>
      </c>
      <c r="M45" s="3"/>
      <c r="N45" s="3"/>
      <c r="O45" s="33"/>
      <c r="P45" s="32">
        <f>SUM(P7:P43)</f>
        <v>-48497485.567749836</v>
      </c>
    </row>
    <row r="46" spans="12:16" ht="12.75">
      <c r="L46" s="16" t="s">
        <v>19</v>
      </c>
      <c r="M46" s="41"/>
      <c r="N46" s="33"/>
      <c r="O46" s="33"/>
      <c r="P46" s="18">
        <f>SUM(P44:P45)</f>
        <v>1930267.2043442577</v>
      </c>
    </row>
    <row r="48" spans="12:15" ht="12.75">
      <c r="L48" s="43" t="s">
        <v>18</v>
      </c>
      <c r="M48" s="43" t="s">
        <v>18</v>
      </c>
      <c r="N48" s="43"/>
      <c r="O48" s="43"/>
    </row>
    <row r="49" spans="13:16" ht="12.75">
      <c r="M49" s="16" t="s">
        <v>33</v>
      </c>
      <c r="N49" s="41"/>
      <c r="O49" s="41"/>
      <c r="P49" s="17">
        <f>R22+S22/(1+T33)^12+T22/(1+T33)^18</f>
        <v>20195780.612854727</v>
      </c>
    </row>
    <row r="50" spans="13:16" ht="12.75">
      <c r="M50" s="45"/>
      <c r="N50" s="40"/>
      <c r="O50" s="40"/>
      <c r="P50" s="46"/>
    </row>
    <row r="51" spans="13:16" ht="12.75">
      <c r="M51" s="16" t="s">
        <v>34</v>
      </c>
      <c r="N51" s="41"/>
      <c r="O51" s="41"/>
      <c r="P51" s="17">
        <f>0.15*P49</f>
        <v>3029367.0919282087</v>
      </c>
    </row>
    <row r="52" spans="13:16" ht="12.75">
      <c r="M52" s="45"/>
      <c r="N52" s="40"/>
      <c r="O52" s="40"/>
      <c r="P52" s="46"/>
    </row>
    <row r="53" spans="13:16" ht="12.75">
      <c r="M53" s="16" t="s">
        <v>35</v>
      </c>
      <c r="N53" s="41"/>
      <c r="O53" s="41"/>
      <c r="P53" s="17">
        <f>P46</f>
        <v>1930267.2043442577</v>
      </c>
    </row>
    <row r="54" spans="13:16" ht="12.75">
      <c r="M54" s="44"/>
      <c r="N54" s="47"/>
      <c r="O54" s="47"/>
      <c r="P54" s="20"/>
    </row>
    <row r="55" spans="13:16" ht="12.75">
      <c r="M55" s="34" t="s">
        <v>36</v>
      </c>
      <c r="N55" s="48"/>
      <c r="O55" s="48"/>
      <c r="P55" s="49"/>
    </row>
    <row r="58" spans="13:14" ht="12.75">
      <c r="M58" t="s">
        <v>42</v>
      </c>
      <c r="N58" s="50" t="s">
        <v>18</v>
      </c>
    </row>
    <row r="60" spans="13:16" ht="12.75">
      <c r="M60" s="44" t="s">
        <v>4</v>
      </c>
      <c r="N60" s="54">
        <f>($T$13/($S$13-$T$17)*(1-((1+$T$17)/(1+$S$13))^12))+S17/(1+$S$13)^12</f>
        <v>50427752.77209396</v>
      </c>
      <c r="O60" s="51" t="s">
        <v>38</v>
      </c>
      <c r="P60" s="54">
        <f>-$R$22-$S$22/(1+$T$33)^12-$T$22/(1+$T$33)^18</f>
        <v>-20195780.612854727</v>
      </c>
    </row>
    <row r="61" spans="13:16" ht="12.75">
      <c r="M61" s="45"/>
      <c r="N61" s="46"/>
      <c r="O61" s="52"/>
      <c r="P61" s="46"/>
    </row>
    <row r="62" spans="13:16" ht="12.75">
      <c r="M62" s="45"/>
      <c r="N62" s="46"/>
      <c r="O62" s="53" t="s">
        <v>39</v>
      </c>
      <c r="P62" s="54">
        <f>-$T$25/($T$33-$T$29)*(1-((1+$T$29)/(1+$T$33))^36)</f>
        <v>-28301704.954894878</v>
      </c>
    </row>
    <row r="63" spans="13:16" ht="12.75">
      <c r="M63" s="45"/>
      <c r="N63" s="46"/>
      <c r="O63" s="45"/>
      <c r="P63" s="46"/>
    </row>
    <row r="64" spans="13:16" ht="12.75">
      <c r="M64" s="45"/>
      <c r="N64" s="46"/>
      <c r="O64" s="53" t="s">
        <v>40</v>
      </c>
      <c r="P64" s="54">
        <f>SUM(P60:P62)</f>
        <v>-48497485.567749605</v>
      </c>
    </row>
    <row r="65" spans="13:16" ht="12.75">
      <c r="M65" s="34"/>
      <c r="N65" s="49"/>
      <c r="O65" s="34"/>
      <c r="P65" s="49"/>
    </row>
    <row r="66" spans="13:16" ht="12.75">
      <c r="M66" t="s">
        <v>18</v>
      </c>
      <c r="O66" s="1" t="s">
        <v>41</v>
      </c>
      <c r="P66" s="55">
        <f>N60+P64</f>
        <v>1930267.2043443546</v>
      </c>
    </row>
    <row r="67" ht="12.75">
      <c r="M67" t="s">
        <v>18</v>
      </c>
    </row>
  </sheetData>
  <printOptions/>
  <pageMargins left="0.75" right="0.75" top="1" bottom="1" header="0" footer="0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dcterms:created xsi:type="dcterms:W3CDTF">2003-10-22T02:24:28Z</dcterms:created>
  <dcterms:modified xsi:type="dcterms:W3CDTF">2003-11-02T21:27:06Z</dcterms:modified>
  <cp:category/>
  <cp:version/>
  <cp:contentType/>
  <cp:contentStatus/>
</cp:coreProperties>
</file>