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2"/>
  </bookViews>
  <sheets>
    <sheet name="ejerc 1" sheetId="1" r:id="rId1"/>
    <sheet name="ejerc 2" sheetId="2" r:id="rId2"/>
    <sheet name="ejerc 26" sheetId="3" r:id="rId3"/>
    <sheet name="ejerc 25" sheetId="4" r:id="rId4"/>
    <sheet name="ejerc 5" sheetId="5" r:id="rId5"/>
  </sheets>
  <definedNames/>
  <calcPr fullCalcOnLoad="1"/>
</workbook>
</file>

<file path=xl/sharedStrings.xml><?xml version="1.0" encoding="utf-8"?>
<sst xmlns="http://schemas.openxmlformats.org/spreadsheetml/2006/main" count="261" uniqueCount="87">
  <si>
    <t>(a)</t>
  </si>
  <si>
    <t>(b)</t>
  </si>
  <si>
    <t>fin del</t>
  </si>
  <si>
    <t>trimestre</t>
  </si>
  <si>
    <t>(e)</t>
  </si>
  <si>
    <t>Carga datos</t>
  </si>
  <si>
    <t>tasa de interés</t>
  </si>
  <si>
    <t>EJERCICIO 1</t>
  </si>
  <si>
    <t xml:space="preserve"> </t>
  </si>
  <si>
    <t>días</t>
  </si>
  <si>
    <t>cuota</t>
  </si>
  <si>
    <t>n</t>
  </si>
  <si>
    <t xml:space="preserve"> interés</t>
  </si>
  <si>
    <t>(c )</t>
  </si>
  <si>
    <t>(d)</t>
  </si>
  <si>
    <t>amorti-</t>
  </si>
  <si>
    <t>zación</t>
  </si>
  <si>
    <t>deuda</t>
  </si>
  <si>
    <t>residual</t>
  </si>
  <si>
    <t>extinguida</t>
  </si>
  <si>
    <t>(f)</t>
  </si>
  <si>
    <t>(g)</t>
  </si>
  <si>
    <t>préstamo</t>
  </si>
  <si>
    <t>función excel = pago(k25,6,k22)  =</t>
  </si>
  <si>
    <t>(c ) - (d)</t>
  </si>
  <si>
    <t>( f ) - ( e )</t>
  </si>
  <si>
    <t>( f ) * i</t>
  </si>
  <si>
    <t>Ejercicios de Amortización; texto Manual de Matemática Financiera, autor Carlos Aliaga</t>
  </si>
  <si>
    <t>cronograma de desembolsos</t>
  </si>
  <si>
    <t>fecha</t>
  </si>
  <si>
    <t>acumulado</t>
  </si>
  <si>
    <t>importe</t>
  </si>
  <si>
    <t>Nº desembolso</t>
  </si>
  <si>
    <t>a) cálculo de los préstamos al día 30 de diciembre</t>
  </si>
  <si>
    <t xml:space="preserve"> capitalización</t>
  </si>
  <si>
    <t>periodo de</t>
  </si>
  <si>
    <t>importes de</t>
  </si>
  <si>
    <t>los préstamos</t>
  </si>
  <si>
    <t>valor</t>
  </si>
  <si>
    <t>futuro</t>
  </si>
  <si>
    <t>TET  =</t>
  </si>
  <si>
    <t>diaria</t>
  </si>
  <si>
    <t>(capitalización con tasa de interés diaria)</t>
  </si>
  <si>
    <t>b) cálculo del pago trimestral</t>
  </si>
  <si>
    <t>función excel</t>
  </si>
  <si>
    <t>periodos de</t>
  </si>
  <si>
    <t>renta</t>
  </si>
  <si>
    <t>suma   =</t>
  </si>
  <si>
    <t>Tabla de comprobación del pago estimado</t>
  </si>
  <si>
    <t>valor presente</t>
  </si>
  <si>
    <t>actualización</t>
  </si>
  <si>
    <t>pagos</t>
  </si>
  <si>
    <t xml:space="preserve">TABLA DE REEMBOLSO </t>
  </si>
  <si>
    <t>TABLA DE REEMBOLSOS</t>
  </si>
  <si>
    <t>suma 30 dic</t>
  </si>
  <si>
    <t>interés</t>
  </si>
  <si>
    <t>generado</t>
  </si>
  <si>
    <t>EJERCICIO 5</t>
  </si>
  <si>
    <t>(a )</t>
  </si>
  <si>
    <t>( c)</t>
  </si>
  <si>
    <t>( d )</t>
  </si>
  <si>
    <t>( e)</t>
  </si>
  <si>
    <t>carga</t>
  </si>
  <si>
    <t>datos</t>
  </si>
  <si>
    <t>TABLA DE REEMBOLSO ORIGINAL</t>
  </si>
  <si>
    <t>TABLA DE REEMBOLSO CON PAGO ADICIONAL</t>
  </si>
  <si>
    <t>( d ) * i</t>
  </si>
  <si>
    <t>(a ) - (b)</t>
  </si>
  <si>
    <t>( d ) - ( c )</t>
  </si>
  <si>
    <t xml:space="preserve">         3500 - 2885.91  =</t>
  </si>
  <si>
    <t>función excel =</t>
  </si>
  <si>
    <t xml:space="preserve">   pago(H20,3,E36)     =</t>
  </si>
  <si>
    <t>Tabla de comprobación del pago estimado modificado</t>
  </si>
  <si>
    <t>pago - cuota  =</t>
  </si>
  <si>
    <t>EJERCICIO 2</t>
  </si>
  <si>
    <t>EJERCICIO 25</t>
  </si>
  <si>
    <t>a) cálculo de la cuota uniforme</t>
  </si>
  <si>
    <t>carga de datos</t>
  </si>
  <si>
    <t>pago(F15,4,F18,,1) =</t>
  </si>
  <si>
    <t>función PAGO =</t>
  </si>
  <si>
    <t>EJERCICIO 26</t>
  </si>
  <si>
    <t>=</t>
  </si>
  <si>
    <t xml:space="preserve">vf(F15,1,,-F18)*( pago(F15,3,1)) </t>
  </si>
  <si>
    <t xml:space="preserve">  </t>
  </si>
  <si>
    <t>(h)</t>
  </si>
  <si>
    <t>capitalizable</t>
  </si>
  <si>
    <t xml:space="preserve"> PAGOS          =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</si>
</sst>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mmm\-yyyy"/>
    <numFmt numFmtId="166" formatCode="0.0"/>
    <numFmt numFmtId="167" formatCode="0.000"/>
    <numFmt numFmtId="168" formatCode="&quot;$&quot;#,##0.000;[Red]\-&quot;$&quot;#,##0.000"/>
    <numFmt numFmtId="169" formatCode="&quot;$&quot;#,##0.0000;[Red]\-&quot;$&quot;#,##0.0000"/>
    <numFmt numFmtId="170" formatCode="[$S/.-280A]\ #,##0.0000_ ;[Red]\-[$S/.-280A]\ #,##0.0000\ "/>
    <numFmt numFmtId="171" formatCode="[$S/.-280A]\ #,##0.00_ ;[Red]\-[$S/.-280A]\ #,##0.00\ "/>
    <numFmt numFmtId="172" formatCode="0.0000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.5"/>
      <name val="Arial"/>
      <family val="0"/>
    </font>
    <font>
      <sz val="14.5"/>
      <name val="Arial"/>
      <family val="0"/>
    </font>
    <font>
      <sz val="9.5"/>
      <name val="Arial"/>
      <family val="2"/>
    </font>
    <font>
      <sz val="15.25"/>
      <name val="Arial"/>
      <family val="0"/>
    </font>
    <font>
      <sz val="17.5"/>
      <name val="Arial"/>
      <family val="0"/>
    </font>
    <font>
      <sz val="8.25"/>
      <name val="Arial"/>
      <family val="2"/>
    </font>
    <font>
      <b/>
      <sz val="9.5"/>
      <name val="Arial"/>
      <family val="2"/>
    </font>
    <font>
      <b/>
      <sz val="8.25"/>
      <name val="Arial"/>
      <family val="2"/>
    </font>
    <font>
      <b/>
      <i/>
      <u val="single"/>
      <sz val="11"/>
      <name val="Arial"/>
      <family val="2"/>
    </font>
    <font>
      <b/>
      <i/>
      <u val="single"/>
      <sz val="8"/>
      <name val="Arial"/>
      <family val="2"/>
    </font>
    <font>
      <u val="single"/>
      <sz val="10"/>
      <name val="Arial"/>
      <family val="2"/>
    </font>
    <font>
      <sz val="15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7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4" borderId="7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8" fontId="0" fillId="2" borderId="10" xfId="0" applyNumberFormat="1" applyFill="1" applyBorder="1" applyAlignment="1">
      <alignment/>
    </xf>
    <xf numFmtId="4" fontId="0" fillId="4" borderId="5" xfId="0" applyNumberFormat="1" applyFill="1" applyBorder="1" applyAlignment="1">
      <alignment horizontal="center"/>
    </xf>
    <xf numFmtId="164" fontId="0" fillId="4" borderId="5" xfId="21" applyNumberForma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" fontId="0" fillId="0" borderId="1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5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167" fontId="0" fillId="0" borderId="0" xfId="0" applyNumberFormat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/>
    </xf>
    <xf numFmtId="9" fontId="0" fillId="2" borderId="5" xfId="2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2" borderId="7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9" fontId="1" fillId="2" borderId="5" xfId="21" applyFon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1" fontId="0" fillId="2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6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2" xfId="0" applyFill="1" applyBorder="1" applyAlignment="1">
      <alignment/>
    </xf>
    <xf numFmtId="8" fontId="1" fillId="2" borderId="15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8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sng" baseline="0">
                <a:latin typeface="Arial"/>
                <a:ea typeface="Arial"/>
                <a:cs typeface="Arial"/>
              </a:rPr>
              <a:t>tabla referencial de reembolso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55"/>
          <c:w val="0.9357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deuda residual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1'!$B$21:$B$27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'ejerc 1'!$H$21:$H$27</c:f>
              <c:numCache>
                <c:ptCount val="7"/>
                <c:pt idx="0">
                  <c:v>10000</c:v>
                </c:pt>
                <c:pt idx="1">
                  <c:v>8529.825318898116</c:v>
                </c:pt>
                <c:pt idx="2">
                  <c:v>6986.141903741139</c:v>
                </c:pt>
                <c:pt idx="3">
                  <c:v>5365.274317826313</c:v>
                </c:pt>
                <c:pt idx="4">
                  <c:v>3663.363352615745</c:v>
                </c:pt>
                <c:pt idx="5">
                  <c:v>1876.3568391446493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deuda extinguida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1'!$B$21:$B$27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'ejerc 1'!$I$21:$I$27</c:f>
              <c:numCache>
                <c:ptCount val="7"/>
                <c:pt idx="0">
                  <c:v>0</c:v>
                </c:pt>
                <c:pt idx="1">
                  <c:v>1470.1746811018832</c:v>
                </c:pt>
                <c:pt idx="2">
                  <c:v>3013.8580962588603</c:v>
                </c:pt>
                <c:pt idx="3">
                  <c:v>4634.725682173686</c:v>
                </c:pt>
                <c:pt idx="4">
                  <c:v>6336.636647384254</c:v>
                </c:pt>
                <c:pt idx="5">
                  <c:v>8123.643160855349</c:v>
                </c:pt>
                <c:pt idx="6">
                  <c:v>10000</c:v>
                </c:pt>
              </c:numCache>
            </c:numRef>
          </c:val>
        </c:ser>
        <c:axId val="58959587"/>
        <c:axId val="60874236"/>
      </c:barChart>
      <c:cat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5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8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latin typeface="Arial"/>
                <a:ea typeface="Arial"/>
                <a:cs typeface="Arial"/>
              </a:rPr>
              <a:t>tabla referencial de reembolso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6275"/>
          <c:w val="0.933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v>cuota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1'!$B$21:$B$27</c:f>
              <c:numCache/>
            </c:numRef>
          </c:cat>
          <c:val>
            <c:numRef>
              <c:f>'ejerc 1'!$E$21:$E$27</c:f>
              <c:numCache/>
            </c:numRef>
          </c:val>
        </c:ser>
        <c:ser>
          <c:idx val="1"/>
          <c:order val="1"/>
          <c:tx>
            <c:v>interés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1'!$B$21:$B$27</c:f>
              <c:numCache/>
            </c:numRef>
          </c:cat>
          <c:val>
            <c:numRef>
              <c:f>'ejerc 1'!$F$21:$F$27</c:f>
              <c:numCache/>
            </c:numRef>
          </c:val>
        </c:ser>
        <c:ser>
          <c:idx val="2"/>
          <c:order val="2"/>
          <c:tx>
            <c:v>amortización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1'!$B$21:$B$27</c:f>
              <c:numCache/>
            </c:numRef>
          </c:cat>
          <c:val>
            <c:numRef>
              <c:f>'ejerc 1'!$G$21:$G$27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99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8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tabla de reembolso completa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"/>
          <c:w val="0.929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v>cuota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2'!$I$9:$I$15</c:f>
              <c:numCache/>
            </c:numRef>
          </c:cat>
          <c:val>
            <c:numRef>
              <c:f>'ejerc 2'!$L$9:$L$15</c:f>
              <c:numCache/>
            </c:numRef>
          </c:val>
        </c:ser>
        <c:ser>
          <c:idx val="1"/>
          <c:order val="1"/>
          <c:tx>
            <c:v>interés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2'!$I$9:$I$15</c:f>
              <c:numCache/>
            </c:numRef>
          </c:cat>
          <c:val>
            <c:numRef>
              <c:f>'ejerc 2'!$M$9:$M$15</c:f>
              <c:numCache/>
            </c:numRef>
          </c:val>
        </c:ser>
        <c:ser>
          <c:idx val="2"/>
          <c:order val="2"/>
          <c:tx>
            <c:v>amortización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2'!$I$9:$I$15</c:f>
              <c:numCache/>
            </c:numRef>
          </c:cat>
          <c:val>
            <c:numRef>
              <c:f>'ejerc 2'!$N$9:$N$15</c:f>
              <c:numCache/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81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tabla de reembolso original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225"/>
          <c:w val="0.946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v>cuota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5'!$A$18:$A$22</c:f>
              <c:numCache/>
            </c:numRef>
          </c:cat>
          <c:val>
            <c:numRef>
              <c:f>'ejerc 5'!$B$18:$B$22</c:f>
              <c:numCache/>
            </c:numRef>
          </c:val>
        </c:ser>
        <c:ser>
          <c:idx val="1"/>
          <c:order val="1"/>
          <c:tx>
            <c:v>interés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5'!$A$18:$A$22</c:f>
              <c:numCache/>
            </c:numRef>
          </c:cat>
          <c:val>
            <c:numRef>
              <c:f>'ejerc 5'!$C$18:$C$22</c:f>
              <c:numCache/>
            </c:numRef>
          </c:val>
        </c:ser>
        <c:ser>
          <c:idx val="2"/>
          <c:order val="2"/>
          <c:tx>
            <c:v>amortización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5'!$A$18:$A$22</c:f>
              <c:numCache/>
            </c:numRef>
          </c:cat>
          <c:val>
            <c:numRef>
              <c:f>'ejerc 5'!$D$18:$D$22</c:f>
              <c:numCache/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83225"/>
          <c:w val="0.15575"/>
          <c:h val="0.16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tabla de reembolso modificada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5425"/>
          <c:w val="0.898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cuota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5'!$A$35:$A$39</c:f>
              <c:numCache/>
            </c:numRef>
          </c:cat>
          <c:val>
            <c:numRef>
              <c:f>'ejerc 5'!$B$35:$B$39</c:f>
              <c:numCache/>
            </c:numRef>
          </c:val>
        </c:ser>
        <c:ser>
          <c:idx val="1"/>
          <c:order val="1"/>
          <c:tx>
            <c:v>interés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5'!$A$35:$A$39</c:f>
              <c:numCache/>
            </c:numRef>
          </c:cat>
          <c:val>
            <c:numRef>
              <c:f>'ejerc 5'!$C$35:$C$39</c:f>
              <c:numCache/>
            </c:numRef>
          </c:val>
        </c:ser>
        <c:ser>
          <c:idx val="2"/>
          <c:order val="2"/>
          <c:tx>
            <c:v>amortización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'ejerc 5'!$A$35:$A$39</c:f>
              <c:numCache/>
            </c:numRef>
          </c:cat>
          <c:val>
            <c:numRef>
              <c:f>'ejerc 5'!$D$35:$D$39</c:f>
              <c:numCache/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01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83825"/>
          <c:w val="0.155"/>
          <c:h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7</xdr:col>
      <xdr:colOff>276225</xdr:colOff>
      <xdr:row>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409575"/>
          <a:ext cx="3933825" cy="809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Preparar la tabla referencial de reembolso de un préstamo de S/. 10,000.00 desembolsado el 8 de marzo, el mismo que debe ser cancelado con 6 cuotas constantes cada 90 días aplicando una TET del 5%. Graficar la amortización e interés.</a:t>
          </a:r>
        </a:p>
      </xdr:txBody>
    </xdr:sp>
    <xdr:clientData/>
  </xdr:twoCellAnchor>
  <xdr:twoCellAnchor>
    <xdr:from>
      <xdr:col>0</xdr:col>
      <xdr:colOff>523875</xdr:colOff>
      <xdr:row>51</xdr:row>
      <xdr:rowOff>47625</xdr:rowOff>
    </xdr:from>
    <xdr:to>
      <xdr:col>9</xdr:col>
      <xdr:colOff>19050</xdr:colOff>
      <xdr:row>67</xdr:row>
      <xdr:rowOff>133350</xdr:rowOff>
    </xdr:to>
    <xdr:graphicFrame>
      <xdr:nvGraphicFramePr>
        <xdr:cNvPr id="2" name="Chart 3"/>
        <xdr:cNvGraphicFramePr/>
      </xdr:nvGraphicFramePr>
      <xdr:xfrm>
        <a:off x="523875" y="8305800"/>
        <a:ext cx="52673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38100</xdr:rowOff>
    </xdr:from>
    <xdr:to>
      <xdr:col>8</xdr:col>
      <xdr:colOff>876300</xdr:colOff>
      <xdr:row>49</xdr:row>
      <xdr:rowOff>28575</xdr:rowOff>
    </xdr:to>
    <xdr:graphicFrame>
      <xdr:nvGraphicFramePr>
        <xdr:cNvPr id="3" name="Chart 5"/>
        <xdr:cNvGraphicFramePr/>
      </xdr:nvGraphicFramePr>
      <xdr:xfrm>
        <a:off x="533400" y="4895850"/>
        <a:ext cx="52101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4</xdr:col>
      <xdr:colOff>276225</xdr:colOff>
      <xdr:row>10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276225"/>
          <a:ext cx="2828925" cy="1362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 institución de crédito aprueba a un cliente un préstamo por S/. 10,000.00 amortizable en 4 cuotas uniformes cada 90 días aplicando una TET del 5%; los desembolsos se efectuarán de acuerdo al siguiente cronograma.El 1er. Pago se hará efectivo dentro de 90 días a partir del 01 de octubre
</a:t>
          </a:r>
        </a:p>
      </xdr:txBody>
    </xdr:sp>
    <xdr:clientData/>
  </xdr:twoCellAnchor>
  <xdr:twoCellAnchor>
    <xdr:from>
      <xdr:col>9</xdr:col>
      <xdr:colOff>9525</xdr:colOff>
      <xdr:row>19</xdr:row>
      <xdr:rowOff>57150</xdr:rowOff>
    </xdr:from>
    <xdr:to>
      <xdr:col>15</xdr:col>
      <xdr:colOff>742950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7315200" y="3133725"/>
        <a:ext cx="5305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3</xdr:col>
      <xdr:colOff>381000</xdr:colOff>
      <xdr:row>11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561975"/>
          <a:ext cx="2009775" cy="1228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Preparar una tabla de reembolso para un préstamo de S/. 10,000.00 reembolsable con 4 cuotas uniformes trimestrales  a una TET del 5%,. Considerar un periodo de gracia sin pago de intereses.</a:t>
          </a:r>
        </a:p>
      </xdr:txBody>
    </xdr:sp>
    <xdr:clientData/>
  </xdr:twoCellAnchor>
  <xdr:twoCellAnchor>
    <xdr:from>
      <xdr:col>4</xdr:col>
      <xdr:colOff>209550</xdr:colOff>
      <xdr:row>6</xdr:row>
      <xdr:rowOff>104775</xdr:rowOff>
    </xdr:from>
    <xdr:to>
      <xdr:col>8</xdr:col>
      <xdr:colOff>57150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76625" y="10763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95250</xdr:rowOff>
    </xdr:from>
    <xdr:to>
      <xdr:col>4</xdr:col>
      <xdr:colOff>219075</xdr:colOff>
      <xdr:row>6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3486150" y="581025"/>
          <a:ext cx="0" cy="495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123825</xdr:rowOff>
    </xdr:from>
    <xdr:to>
      <xdr:col>6</xdr:col>
      <xdr:colOff>0</xdr:colOff>
      <xdr:row>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791075" y="10953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104775</xdr:rowOff>
    </xdr:from>
    <xdr:to>
      <xdr:col>7</xdr:col>
      <xdr:colOff>0</xdr:colOff>
      <xdr:row>9</xdr:row>
      <xdr:rowOff>19050</xdr:rowOff>
    </xdr:to>
    <xdr:sp>
      <xdr:nvSpPr>
        <xdr:cNvPr id="5" name="Line 5"/>
        <xdr:cNvSpPr>
          <a:spLocks/>
        </xdr:cNvSpPr>
      </xdr:nvSpPr>
      <xdr:spPr>
        <a:xfrm>
          <a:off x="5553075" y="1076325"/>
          <a:ext cx="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104775</xdr:rowOff>
    </xdr:from>
    <xdr:to>
      <xdr:col>8</xdr:col>
      <xdr:colOff>19050</xdr:colOff>
      <xdr:row>9</xdr:row>
      <xdr:rowOff>57150</xdr:rowOff>
    </xdr:to>
    <xdr:sp>
      <xdr:nvSpPr>
        <xdr:cNvPr id="6" name="Line 6"/>
        <xdr:cNvSpPr>
          <a:spLocks/>
        </xdr:cNvSpPr>
      </xdr:nvSpPr>
      <xdr:spPr>
        <a:xfrm>
          <a:off x="6334125" y="1076325"/>
          <a:ext cx="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57150</xdr:rowOff>
    </xdr:from>
    <xdr:to>
      <xdr:col>8</xdr:col>
      <xdr:colOff>219075</xdr:colOff>
      <xdr:row>6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14700" y="866775"/>
          <a:ext cx="3219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0          1                  2                   3                   4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3</xdr:col>
      <xdr:colOff>381000</xdr:colOff>
      <xdr:row>10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561975"/>
          <a:ext cx="1933575" cy="10953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Preparar una tabla de reembolso para un préstamo de S/. 10,000.00 otorgado el 16 de agosto, para amortizarse con 4 cuotas uniformes trimestrales anticipadas, a una TET del 5%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85725</xdr:rowOff>
    </xdr:from>
    <xdr:to>
      <xdr:col>5</xdr:col>
      <xdr:colOff>266700</xdr:colOff>
      <xdr:row>10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38300" y="409575"/>
          <a:ext cx="2819400" cy="1247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 empresa solicita un préstamo de S/. 10,000.00 para amortizarlo con 4 cuotas constantes de S/. 2,885.91 cada fin de trimestre. El banco cobra una TET del 6%. Al vencimiento de la primera cuota la empresa abona S/. 3,500.00. Calcular el importe de las 3 cuotas restantes.</a:t>
          </a:r>
        </a:p>
      </xdr:txBody>
    </xdr:sp>
    <xdr:clientData/>
  </xdr:twoCellAnchor>
  <xdr:twoCellAnchor>
    <xdr:from>
      <xdr:col>8</xdr:col>
      <xdr:colOff>809625</xdr:colOff>
      <xdr:row>3</xdr:row>
      <xdr:rowOff>95250</xdr:rowOff>
    </xdr:from>
    <xdr:to>
      <xdr:col>15</xdr:col>
      <xdr:colOff>333375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7400925" y="581025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21</xdr:row>
      <xdr:rowOff>152400</xdr:rowOff>
    </xdr:from>
    <xdr:to>
      <xdr:col>15</xdr:col>
      <xdr:colOff>381000</xdr:colOff>
      <xdr:row>38</xdr:row>
      <xdr:rowOff>76200</xdr:rowOff>
    </xdr:to>
    <xdr:graphicFrame>
      <xdr:nvGraphicFramePr>
        <xdr:cNvPr id="3" name="Chart 3"/>
        <xdr:cNvGraphicFramePr/>
      </xdr:nvGraphicFramePr>
      <xdr:xfrm>
        <a:off x="7419975" y="3552825"/>
        <a:ext cx="49434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3">
      <selection activeCell="I29" sqref="I29"/>
    </sheetView>
  </sheetViews>
  <sheetFormatPr defaultColWidth="11.421875" defaultRowHeight="12.75"/>
  <cols>
    <col min="1" max="1" width="8.00390625" style="0" customWidth="1"/>
    <col min="2" max="2" width="6.28125" style="0" customWidth="1"/>
    <col min="4" max="4" width="8.00390625" style="0" customWidth="1"/>
    <col min="5" max="5" width="10.00390625" style="0" customWidth="1"/>
    <col min="6" max="6" width="9.00390625" style="0" customWidth="1"/>
    <col min="7" max="7" width="10.7109375" style="0" customWidth="1"/>
    <col min="8" max="8" width="9.57421875" style="0" customWidth="1"/>
    <col min="9" max="9" width="13.57421875" style="0" customWidth="1"/>
    <col min="11" max="11" width="13.7109375" style="0" customWidth="1"/>
  </cols>
  <sheetData>
    <row r="1" spans="1:3" ht="12.75">
      <c r="A1" t="s">
        <v>7</v>
      </c>
      <c r="C1" t="s">
        <v>27</v>
      </c>
    </row>
    <row r="11" spans="3:7" ht="12.75">
      <c r="C11" s="24" t="s">
        <v>23</v>
      </c>
      <c r="D11" s="25"/>
      <c r="E11" s="25"/>
      <c r="F11" s="25"/>
      <c r="G11" s="26">
        <f>PMT(K25,6,K22)</f>
        <v>-1970.1746811018832</v>
      </c>
    </row>
    <row r="15" ht="12.75">
      <c r="C15" t="s">
        <v>52</v>
      </c>
    </row>
    <row r="16" spans="2:9" ht="12.75">
      <c r="B16" s="16"/>
      <c r="C16" s="16"/>
      <c r="D16" s="16"/>
      <c r="E16" s="16"/>
      <c r="F16" s="13" t="s">
        <v>26</v>
      </c>
      <c r="G16" s="13" t="s">
        <v>24</v>
      </c>
      <c r="H16" s="13" t="s">
        <v>25</v>
      </c>
      <c r="I16" s="13"/>
    </row>
    <row r="17" spans="2:9" ht="12.75">
      <c r="B17" s="1"/>
      <c r="C17" s="1" t="s">
        <v>0</v>
      </c>
      <c r="D17" s="1" t="s">
        <v>8</v>
      </c>
      <c r="E17" s="1" t="s">
        <v>8</v>
      </c>
      <c r="F17" s="1" t="s">
        <v>8</v>
      </c>
      <c r="G17" s="2" t="s">
        <v>4</v>
      </c>
      <c r="H17" s="3" t="s">
        <v>20</v>
      </c>
      <c r="I17" s="3" t="s">
        <v>21</v>
      </c>
    </row>
    <row r="18" spans="2:9" ht="12.75">
      <c r="B18" s="4"/>
      <c r="C18" s="4" t="s">
        <v>2</v>
      </c>
      <c r="D18" s="4" t="s">
        <v>1</v>
      </c>
      <c r="E18" s="4" t="s">
        <v>13</v>
      </c>
      <c r="F18" s="4" t="s">
        <v>14</v>
      </c>
      <c r="G18" s="4" t="s">
        <v>15</v>
      </c>
      <c r="H18" s="5" t="s">
        <v>17</v>
      </c>
      <c r="I18" s="5" t="s">
        <v>17</v>
      </c>
    </row>
    <row r="19" spans="2:9" ht="12.75">
      <c r="B19" s="6" t="s">
        <v>11</v>
      </c>
      <c r="C19" s="6" t="s">
        <v>3</v>
      </c>
      <c r="D19" s="6" t="s">
        <v>9</v>
      </c>
      <c r="E19" s="6" t="s">
        <v>10</v>
      </c>
      <c r="F19" s="6" t="s">
        <v>12</v>
      </c>
      <c r="G19" s="6" t="s">
        <v>16</v>
      </c>
      <c r="H19" s="7" t="s">
        <v>18</v>
      </c>
      <c r="I19" s="7" t="s">
        <v>19</v>
      </c>
    </row>
    <row r="20" spans="2:11" ht="12.75">
      <c r="B20" s="14"/>
      <c r="C20" s="8"/>
      <c r="D20" s="8"/>
      <c r="E20" s="8"/>
      <c r="F20" s="8"/>
      <c r="G20" s="8"/>
      <c r="H20" s="9"/>
      <c r="I20" s="9"/>
      <c r="K20" s="10" t="s">
        <v>5</v>
      </c>
    </row>
    <row r="21" spans="2:11" ht="12.75">
      <c r="B21" s="14">
        <v>0</v>
      </c>
      <c r="C21" s="22">
        <v>37688</v>
      </c>
      <c r="D21" s="66">
        <v>0</v>
      </c>
      <c r="E21" s="11">
        <v>0</v>
      </c>
      <c r="F21" s="11">
        <v>0</v>
      </c>
      <c r="G21" s="11">
        <v>0</v>
      </c>
      <c r="H21" s="12">
        <f>K22</f>
        <v>10000</v>
      </c>
      <c r="I21" s="12">
        <v>0</v>
      </c>
      <c r="K21" s="13" t="s">
        <v>22</v>
      </c>
    </row>
    <row r="22" spans="2:11" ht="12.75">
      <c r="B22" s="14">
        <v>1</v>
      </c>
      <c r="C22" s="23">
        <f aca="true" t="shared" si="0" ref="C22:C27">C21+90</f>
        <v>37778</v>
      </c>
      <c r="D22" s="35">
        <f aca="true" t="shared" si="1" ref="D22:D27">C22-C21</f>
        <v>90</v>
      </c>
      <c r="E22" s="11">
        <f aca="true" t="shared" si="2" ref="E22:E27">$G$11*-1</f>
        <v>1970.1746811018832</v>
      </c>
      <c r="F22" s="15">
        <f aca="true" t="shared" si="3" ref="F22:F27">$K$25*H21</f>
        <v>500</v>
      </c>
      <c r="G22" s="11">
        <f aca="true" t="shared" si="4" ref="G22:G27">E22-F22</f>
        <v>1470.1746811018832</v>
      </c>
      <c r="H22" s="12">
        <f aca="true" t="shared" si="5" ref="H22:H27">H21-G22</f>
        <v>8529.825318898116</v>
      </c>
      <c r="I22" s="12">
        <f aca="true" t="shared" si="6" ref="I22:I27">G22+I21</f>
        <v>1470.1746811018832</v>
      </c>
      <c r="K22" s="27">
        <v>10000</v>
      </c>
    </row>
    <row r="23" spans="2:9" ht="12.75">
      <c r="B23" s="14">
        <v>2</v>
      </c>
      <c r="C23" s="23">
        <f t="shared" si="0"/>
        <v>37868</v>
      </c>
      <c r="D23" s="35">
        <f t="shared" si="1"/>
        <v>90</v>
      </c>
      <c r="E23" s="11">
        <f t="shared" si="2"/>
        <v>1970.1746811018832</v>
      </c>
      <c r="F23" s="15">
        <f t="shared" si="3"/>
        <v>426.4912659449058</v>
      </c>
      <c r="G23" s="11">
        <f t="shared" si="4"/>
        <v>1543.6834151569774</v>
      </c>
      <c r="H23" s="12">
        <f t="shared" si="5"/>
        <v>6986.141903741139</v>
      </c>
      <c r="I23" s="12">
        <f t="shared" si="6"/>
        <v>3013.8580962588603</v>
      </c>
    </row>
    <row r="24" spans="2:11" ht="12.75">
      <c r="B24" s="14">
        <v>3</v>
      </c>
      <c r="C24" s="23">
        <f t="shared" si="0"/>
        <v>37958</v>
      </c>
      <c r="D24" s="35">
        <f t="shared" si="1"/>
        <v>90</v>
      </c>
      <c r="E24" s="11">
        <f t="shared" si="2"/>
        <v>1970.1746811018832</v>
      </c>
      <c r="F24" s="15">
        <f t="shared" si="3"/>
        <v>349.307095187057</v>
      </c>
      <c r="G24" s="11">
        <f t="shared" si="4"/>
        <v>1620.8675859148261</v>
      </c>
      <c r="H24" s="12">
        <f t="shared" si="5"/>
        <v>5365.274317826313</v>
      </c>
      <c r="I24" s="12">
        <f t="shared" si="6"/>
        <v>4634.725682173686</v>
      </c>
      <c r="K24" s="16" t="s">
        <v>6</v>
      </c>
    </row>
    <row r="25" spans="2:11" ht="12.75">
      <c r="B25" s="14">
        <v>4</v>
      </c>
      <c r="C25" s="23">
        <f t="shared" si="0"/>
        <v>38048</v>
      </c>
      <c r="D25" s="35">
        <f t="shared" si="1"/>
        <v>90</v>
      </c>
      <c r="E25" s="11">
        <f t="shared" si="2"/>
        <v>1970.1746811018832</v>
      </c>
      <c r="F25" s="15">
        <f t="shared" si="3"/>
        <v>268.26371589131566</v>
      </c>
      <c r="G25" s="11">
        <f t="shared" si="4"/>
        <v>1701.9109652105676</v>
      </c>
      <c r="H25" s="12">
        <f t="shared" si="5"/>
        <v>3663.363352615745</v>
      </c>
      <c r="I25" s="12">
        <f t="shared" si="6"/>
        <v>6336.636647384254</v>
      </c>
      <c r="K25" s="28">
        <v>0.05</v>
      </c>
    </row>
    <row r="26" spans="2:9" ht="12.75">
      <c r="B26" s="14">
        <v>5</v>
      </c>
      <c r="C26" s="23">
        <f t="shared" si="0"/>
        <v>38138</v>
      </c>
      <c r="D26" s="35">
        <f t="shared" si="1"/>
        <v>90</v>
      </c>
      <c r="E26" s="11">
        <f t="shared" si="2"/>
        <v>1970.1746811018832</v>
      </c>
      <c r="F26" s="15">
        <f t="shared" si="3"/>
        <v>183.16816763078725</v>
      </c>
      <c r="G26" s="11">
        <f t="shared" si="4"/>
        <v>1787.0065134710958</v>
      </c>
      <c r="H26" s="12">
        <f t="shared" si="5"/>
        <v>1876.3568391446493</v>
      </c>
      <c r="I26" s="12">
        <f t="shared" si="6"/>
        <v>8123.643160855349</v>
      </c>
    </row>
    <row r="27" spans="2:9" ht="12.75">
      <c r="B27" s="14">
        <v>6</v>
      </c>
      <c r="C27" s="23">
        <f t="shared" si="0"/>
        <v>38228</v>
      </c>
      <c r="D27" s="35">
        <f t="shared" si="1"/>
        <v>90</v>
      </c>
      <c r="E27" s="11">
        <f t="shared" si="2"/>
        <v>1970.1746811018832</v>
      </c>
      <c r="F27" s="15">
        <f t="shared" si="3"/>
        <v>93.81784195723247</v>
      </c>
      <c r="G27" s="11">
        <f t="shared" si="4"/>
        <v>1876.3568391446506</v>
      </c>
      <c r="H27" s="12">
        <f t="shared" si="5"/>
        <v>0</v>
      </c>
      <c r="I27" s="12">
        <f t="shared" si="6"/>
        <v>10000</v>
      </c>
    </row>
    <row r="28" spans="2:9" ht="12.75">
      <c r="B28" s="17"/>
      <c r="C28" s="17" t="s">
        <v>8</v>
      </c>
      <c r="D28" s="17"/>
      <c r="E28" s="18" t="s">
        <v>8</v>
      </c>
      <c r="F28" s="19" t="s">
        <v>8</v>
      </c>
      <c r="G28" s="20" t="s">
        <v>8</v>
      </c>
      <c r="H28" s="21" t="s">
        <v>8</v>
      </c>
      <c r="I28" s="21" t="s">
        <v>8</v>
      </c>
    </row>
    <row r="29" spans="4:7" ht="12.75">
      <c r="D29" s="109">
        <f>SUM(D21:D28)</f>
        <v>540</v>
      </c>
      <c r="E29" s="109">
        <f>SUM(E21:E28)</f>
        <v>11821.0480866113</v>
      </c>
      <c r="F29" s="109">
        <f>SUM(F21:F28)</f>
        <v>1821.0480866112982</v>
      </c>
      <c r="G29" s="110">
        <f>SUM(G21:G28)</f>
        <v>10000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J3">
      <selection activeCell="P17" sqref="P17"/>
    </sheetView>
  </sheetViews>
  <sheetFormatPr defaultColWidth="11.421875" defaultRowHeight="12.75"/>
  <cols>
    <col min="1" max="1" width="11.8515625" style="0" customWidth="1"/>
    <col min="3" max="3" width="12.57421875" style="0" customWidth="1"/>
    <col min="4" max="4" width="14.28125" style="0" bestFit="1" customWidth="1"/>
    <col min="5" max="5" width="12.00390625" style="0" customWidth="1"/>
    <col min="7" max="7" width="13.140625" style="0" customWidth="1"/>
  </cols>
  <sheetData>
    <row r="1" spans="1:10" ht="12.75">
      <c r="A1" t="s">
        <v>74</v>
      </c>
      <c r="B1" t="s">
        <v>27</v>
      </c>
      <c r="I1" t="s">
        <v>74</v>
      </c>
      <c r="J1" t="s">
        <v>27</v>
      </c>
    </row>
    <row r="3" ht="12.75">
      <c r="K3" t="s">
        <v>53</v>
      </c>
    </row>
    <row r="4" spans="9:17" ht="12.75">
      <c r="I4" s="16"/>
      <c r="J4" s="16"/>
      <c r="K4" s="16"/>
      <c r="L4" s="16"/>
      <c r="M4" s="13" t="s">
        <v>26</v>
      </c>
      <c r="N4" s="13" t="s">
        <v>24</v>
      </c>
      <c r="O4" s="13" t="s">
        <v>25</v>
      </c>
      <c r="P4" s="13"/>
      <c r="Q4" s="13"/>
    </row>
    <row r="5" spans="9:17" ht="12.75">
      <c r="I5" s="1"/>
      <c r="J5" s="1" t="s">
        <v>0</v>
      </c>
      <c r="K5" s="1" t="s">
        <v>8</v>
      </c>
      <c r="L5" s="1" t="s">
        <v>8</v>
      </c>
      <c r="M5" s="1" t="s">
        <v>8</v>
      </c>
      <c r="N5" s="2" t="s">
        <v>4</v>
      </c>
      <c r="O5" s="3" t="s">
        <v>20</v>
      </c>
      <c r="P5" s="3" t="s">
        <v>21</v>
      </c>
      <c r="Q5" s="3" t="s">
        <v>84</v>
      </c>
    </row>
    <row r="6" spans="9:17" ht="12.75">
      <c r="I6" s="4"/>
      <c r="J6" s="4" t="s">
        <v>29</v>
      </c>
      <c r="K6" s="4" t="s">
        <v>1</v>
      </c>
      <c r="L6" s="4" t="s">
        <v>13</v>
      </c>
      <c r="M6" s="4" t="s">
        <v>14</v>
      </c>
      <c r="N6" s="4" t="s">
        <v>15</v>
      </c>
      <c r="O6" s="5" t="s">
        <v>17</v>
      </c>
      <c r="P6" s="5" t="s">
        <v>17</v>
      </c>
      <c r="Q6" s="5" t="s">
        <v>55</v>
      </c>
    </row>
    <row r="7" spans="9:17" ht="12.75">
      <c r="I7" s="6" t="s">
        <v>11</v>
      </c>
      <c r="J7" s="6" t="s">
        <v>8</v>
      </c>
      <c r="K7" s="6" t="s">
        <v>9</v>
      </c>
      <c r="L7" s="6" t="s">
        <v>10</v>
      </c>
      <c r="M7" s="6" t="s">
        <v>12</v>
      </c>
      <c r="N7" s="6" t="s">
        <v>16</v>
      </c>
      <c r="O7" s="7" t="s">
        <v>18</v>
      </c>
      <c r="P7" s="7" t="s">
        <v>19</v>
      </c>
      <c r="Q7" s="7" t="s">
        <v>85</v>
      </c>
    </row>
    <row r="8" spans="9:17" ht="12.75">
      <c r="I8" s="14"/>
      <c r="J8" s="8"/>
      <c r="K8" s="8"/>
      <c r="L8" s="8"/>
      <c r="M8" s="8"/>
      <c r="N8" s="8"/>
      <c r="O8" s="9"/>
      <c r="P8" s="9"/>
      <c r="Q8" s="102"/>
    </row>
    <row r="9" spans="9:17" ht="12.75">
      <c r="I9" s="14">
        <v>0</v>
      </c>
      <c r="J9" s="22">
        <v>37895</v>
      </c>
      <c r="K9" s="66">
        <v>0</v>
      </c>
      <c r="L9" s="11">
        <v>0</v>
      </c>
      <c r="M9" s="11">
        <v>0</v>
      </c>
      <c r="N9" s="11">
        <v>0</v>
      </c>
      <c r="O9" s="12">
        <v>5000</v>
      </c>
      <c r="P9" s="12">
        <v>0</v>
      </c>
      <c r="Q9" s="103"/>
    </row>
    <row r="10" spans="9:17" ht="12.75">
      <c r="I10" s="14">
        <v>1</v>
      </c>
      <c r="J10" s="23">
        <v>37904</v>
      </c>
      <c r="K10" s="35">
        <f aca="true" t="shared" si="0" ref="K10:K15">J10-J9</f>
        <v>9</v>
      </c>
      <c r="L10" s="11">
        <v>0</v>
      </c>
      <c r="M10" s="104">
        <v>0</v>
      </c>
      <c r="N10" s="11">
        <v>0</v>
      </c>
      <c r="O10" s="12">
        <v>7000</v>
      </c>
      <c r="P10" s="12">
        <f aca="true" t="shared" si="1" ref="P10:P15">N10+P9</f>
        <v>0</v>
      </c>
      <c r="Q10" s="15">
        <f>F25</f>
        <v>249.99999999999</v>
      </c>
    </row>
    <row r="11" spans="9:17" ht="12.75">
      <c r="I11" s="14">
        <v>2</v>
      </c>
      <c r="J11" s="23">
        <v>37910</v>
      </c>
      <c r="K11" s="35">
        <f t="shared" si="0"/>
        <v>6</v>
      </c>
      <c r="L11" s="11">
        <v>0</v>
      </c>
      <c r="M11" s="104">
        <v>0</v>
      </c>
      <c r="N11" s="11">
        <v>0</v>
      </c>
      <c r="O11" s="12">
        <v>10000</v>
      </c>
      <c r="P11" s="12">
        <f t="shared" si="1"/>
        <v>0</v>
      </c>
      <c r="Q11" s="15">
        <f>F26+F25</f>
        <v>339.7790199647925</v>
      </c>
    </row>
    <row r="12" spans="2:17" ht="12.75">
      <c r="B12" s="29" t="s">
        <v>28</v>
      </c>
      <c r="I12" s="14">
        <v>3</v>
      </c>
      <c r="J12" s="23">
        <v>37985</v>
      </c>
      <c r="K12" s="35">
        <f t="shared" si="0"/>
        <v>75</v>
      </c>
      <c r="L12" s="11">
        <f>$G$43</f>
        <v>2810.5213419877446</v>
      </c>
      <c r="M12" s="15">
        <f>F25+F26+F27</f>
        <v>464.26804805954043</v>
      </c>
      <c r="N12" s="11">
        <f>L12-M12</f>
        <v>2346.253293928204</v>
      </c>
      <c r="O12" s="12">
        <f>O11-N12</f>
        <v>7653.746706071795</v>
      </c>
      <c r="P12" s="12">
        <f t="shared" si="1"/>
        <v>2346.253293928204</v>
      </c>
      <c r="Q12" s="103"/>
    </row>
    <row r="13" spans="9:17" ht="12.75">
      <c r="I13" s="14">
        <v>4</v>
      </c>
      <c r="J13" s="23">
        <v>38075</v>
      </c>
      <c r="K13" s="35">
        <f t="shared" si="0"/>
        <v>90</v>
      </c>
      <c r="L13" s="11">
        <f>$G$43</f>
        <v>2810.5213419877446</v>
      </c>
      <c r="M13" s="15">
        <f>O12*$G$40</f>
        <v>382.6873353035898</v>
      </c>
      <c r="N13" s="11">
        <f>L13-M13</f>
        <v>2427.8340066841547</v>
      </c>
      <c r="O13" s="12">
        <f>O12-N13</f>
        <v>5225.912699387641</v>
      </c>
      <c r="P13" s="12">
        <f t="shared" si="1"/>
        <v>4774.087300612358</v>
      </c>
      <c r="Q13" s="103"/>
    </row>
    <row r="14" spans="2:17" ht="12.75">
      <c r="B14" s="37" t="s">
        <v>29</v>
      </c>
      <c r="C14" s="37" t="s">
        <v>9</v>
      </c>
      <c r="D14" s="37" t="s">
        <v>30</v>
      </c>
      <c r="E14" s="37" t="s">
        <v>31</v>
      </c>
      <c r="F14" s="38" t="s">
        <v>32</v>
      </c>
      <c r="G14" s="30"/>
      <c r="I14" s="14">
        <v>5</v>
      </c>
      <c r="J14" s="23">
        <v>38165</v>
      </c>
      <c r="K14" s="35">
        <f t="shared" si="0"/>
        <v>90</v>
      </c>
      <c r="L14" s="11">
        <f>$G$43</f>
        <v>2810.5213419877446</v>
      </c>
      <c r="M14" s="15">
        <f>O13*$G$40</f>
        <v>261.29563496938204</v>
      </c>
      <c r="N14" s="11">
        <f>L14-M14</f>
        <v>2549.2257070183623</v>
      </c>
      <c r="O14" s="12">
        <f>O13-N14</f>
        <v>2676.6869923692784</v>
      </c>
      <c r="P14" s="12">
        <f t="shared" si="1"/>
        <v>7323.313007630721</v>
      </c>
      <c r="Q14" s="103"/>
    </row>
    <row r="15" spans="2:17" ht="12.75">
      <c r="B15" s="33">
        <v>37895</v>
      </c>
      <c r="C15" s="35">
        <v>0</v>
      </c>
      <c r="D15" s="35">
        <v>0</v>
      </c>
      <c r="E15" s="15">
        <v>5000</v>
      </c>
      <c r="F15" s="31">
        <v>1</v>
      </c>
      <c r="I15" s="14">
        <v>6</v>
      </c>
      <c r="J15" s="23">
        <v>38255</v>
      </c>
      <c r="K15" s="35">
        <f t="shared" si="0"/>
        <v>90</v>
      </c>
      <c r="L15" s="11">
        <f>$G$43</f>
        <v>2810.5213419877446</v>
      </c>
      <c r="M15" s="15">
        <f>O14*$G$40</f>
        <v>133.83434961846393</v>
      </c>
      <c r="N15" s="11">
        <f>L15-M15</f>
        <v>2676.6869923692807</v>
      </c>
      <c r="O15" s="12">
        <f>O14-N15</f>
        <v>0</v>
      </c>
      <c r="P15" s="12">
        <f t="shared" si="1"/>
        <v>10000.000000000002</v>
      </c>
      <c r="Q15" s="103"/>
    </row>
    <row r="16" spans="2:17" ht="12.75">
      <c r="B16" s="33">
        <v>37904</v>
      </c>
      <c r="C16" s="35">
        <f>B16-B15</f>
        <v>9</v>
      </c>
      <c r="D16" s="35">
        <f>D15+C16</f>
        <v>9</v>
      </c>
      <c r="E16" s="15">
        <v>2000</v>
      </c>
      <c r="F16" s="31">
        <v>2</v>
      </c>
      <c r="I16" s="17"/>
      <c r="J16" s="17" t="s">
        <v>8</v>
      </c>
      <c r="K16" s="17"/>
      <c r="L16" s="18" t="s">
        <v>8</v>
      </c>
      <c r="M16" s="19" t="s">
        <v>8</v>
      </c>
      <c r="N16" s="20" t="s">
        <v>8</v>
      </c>
      <c r="O16" s="21" t="s">
        <v>8</v>
      </c>
      <c r="P16" s="21" t="s">
        <v>8</v>
      </c>
      <c r="Q16" s="68"/>
    </row>
    <row r="17" spans="2:14" ht="12.75">
      <c r="B17" s="33">
        <v>37910</v>
      </c>
      <c r="C17" s="35">
        <f>B17-B16</f>
        <v>6</v>
      </c>
      <c r="D17" s="35">
        <f>D16+C17</f>
        <v>15</v>
      </c>
      <c r="E17" s="15">
        <v>3000</v>
      </c>
      <c r="F17" s="31">
        <v>3</v>
      </c>
      <c r="K17" s="109">
        <f>SUM(K9:K16)</f>
        <v>360</v>
      </c>
      <c r="L17" s="109">
        <f>SUM(L9:L16)</f>
        <v>11242.085367950978</v>
      </c>
      <c r="M17" s="109">
        <f>SUM(M9:M16)</f>
        <v>1242.0853679509762</v>
      </c>
      <c r="N17" s="110">
        <f>SUM(N9:N16)</f>
        <v>10000.000000000002</v>
      </c>
    </row>
    <row r="18" spans="2:6" ht="12.75">
      <c r="B18" s="34">
        <v>37985</v>
      </c>
      <c r="C18" s="36">
        <f>B18-B17</f>
        <v>75</v>
      </c>
      <c r="D18" s="36">
        <f>D17+C18</f>
        <v>90</v>
      </c>
      <c r="E18" s="19"/>
      <c r="F18" s="32"/>
    </row>
    <row r="21" ht="12.75">
      <c r="B21" t="s">
        <v>33</v>
      </c>
    </row>
    <row r="22" ht="12.75">
      <c r="B22" s="30" t="s">
        <v>42</v>
      </c>
    </row>
    <row r="23" spans="2:6" ht="12.75">
      <c r="B23" s="39" t="s">
        <v>29</v>
      </c>
      <c r="C23" s="39" t="s">
        <v>35</v>
      </c>
      <c r="D23" s="39" t="s">
        <v>36</v>
      </c>
      <c r="E23" s="40" t="s">
        <v>38</v>
      </c>
      <c r="F23" s="39" t="s">
        <v>55</v>
      </c>
    </row>
    <row r="24" spans="2:6" ht="12.75">
      <c r="B24" s="41"/>
      <c r="C24" s="41" t="s">
        <v>34</v>
      </c>
      <c r="D24" s="41" t="s">
        <v>37</v>
      </c>
      <c r="E24" s="42" t="s">
        <v>39</v>
      </c>
      <c r="F24" s="41" t="s">
        <v>56</v>
      </c>
    </row>
    <row r="25" spans="2:6" ht="12.75">
      <c r="B25" s="46">
        <v>37895</v>
      </c>
      <c r="C25" s="49">
        <f>$B$28-B25</f>
        <v>90</v>
      </c>
      <c r="D25" s="50">
        <v>5000</v>
      </c>
      <c r="E25" s="43">
        <f>D25*(1+$C$32)^C25</f>
        <v>5249.99999999999</v>
      </c>
      <c r="F25" s="67">
        <f>E25-D25</f>
        <v>249.99999999999</v>
      </c>
    </row>
    <row r="26" spans="2:6" ht="12.75">
      <c r="B26" s="47">
        <v>37904</v>
      </c>
      <c r="C26" s="35">
        <f>$B$28-B26</f>
        <v>81</v>
      </c>
      <c r="D26" s="14">
        <v>2000</v>
      </c>
      <c r="E26" s="44">
        <f>D26*(1+$C$32)^C26</f>
        <v>2089.7790199648025</v>
      </c>
      <c r="F26" s="67">
        <f>E26-D26</f>
        <v>89.7790199648025</v>
      </c>
    </row>
    <row r="27" spans="2:6" ht="12.75">
      <c r="B27" s="47">
        <v>37910</v>
      </c>
      <c r="C27" s="35">
        <f>$B$28-B27</f>
        <v>75</v>
      </c>
      <c r="D27" s="14">
        <v>3000</v>
      </c>
      <c r="E27" s="44">
        <f>D27*(1+$C$32)^C27</f>
        <v>3124.489028094748</v>
      </c>
      <c r="F27" s="67">
        <f>E27-D27</f>
        <v>124.48902809474794</v>
      </c>
    </row>
    <row r="28" spans="2:6" ht="12.75">
      <c r="B28" s="48">
        <v>37985</v>
      </c>
      <c r="C28" s="36"/>
      <c r="D28" s="17"/>
      <c r="E28" s="45"/>
      <c r="F28" s="68"/>
    </row>
    <row r="29" spans="4:6" ht="12.75">
      <c r="D29" s="52" t="s">
        <v>54</v>
      </c>
      <c r="E29" s="51">
        <f>SUM(E25:E28)</f>
        <v>10464.26804805954</v>
      </c>
      <c r="F29" s="69">
        <f>SUM(F25:F28)</f>
        <v>464.26804805954043</v>
      </c>
    </row>
    <row r="31" spans="2:3" ht="12.75">
      <c r="B31" t="s">
        <v>40</v>
      </c>
      <c r="C31" s="54">
        <v>0.05</v>
      </c>
    </row>
    <row r="32" spans="2:4" ht="12.75">
      <c r="B32" s="24" t="s">
        <v>40</v>
      </c>
      <c r="C32" s="25">
        <f>1.05^(1/90)-1</f>
        <v>0.0005422599049900168</v>
      </c>
      <c r="D32" s="53" t="s">
        <v>41</v>
      </c>
    </row>
    <row r="34" ht="12.75">
      <c r="B34" s="29" t="s">
        <v>43</v>
      </c>
    </row>
    <row r="36" spans="2:4" ht="12.75">
      <c r="B36" s="24" t="s">
        <v>44</v>
      </c>
      <c r="C36" s="25"/>
      <c r="D36" s="70">
        <f>PMT(C31,4,E29,,1)</f>
        <v>-2810.5213419877446</v>
      </c>
    </row>
    <row r="38" ht="12.75">
      <c r="B38" s="29" t="s">
        <v>48</v>
      </c>
    </row>
    <row r="39" spans="2:7" ht="12.75">
      <c r="B39" s="55" t="s">
        <v>11</v>
      </c>
      <c r="C39" s="56" t="s">
        <v>45</v>
      </c>
      <c r="D39" s="1" t="s">
        <v>51</v>
      </c>
      <c r="E39" s="56" t="s">
        <v>49</v>
      </c>
      <c r="G39" s="52" t="s">
        <v>6</v>
      </c>
    </row>
    <row r="40" spans="2:7" ht="12.75">
      <c r="B40" s="57"/>
      <c r="C40" s="58" t="s">
        <v>50</v>
      </c>
      <c r="D40" s="58"/>
      <c r="E40" s="58"/>
      <c r="G40" s="59">
        <v>0.05</v>
      </c>
    </row>
    <row r="41" spans="2:5" ht="12.75">
      <c r="B41" s="60">
        <v>0</v>
      </c>
      <c r="C41" s="14">
        <v>0</v>
      </c>
      <c r="D41" s="64">
        <f>$G$43</f>
        <v>2810.5213419877446</v>
      </c>
      <c r="E41" s="14">
        <f>D41/(1+$G$40)^C41</f>
        <v>2810.5213419877446</v>
      </c>
    </row>
    <row r="42" spans="2:7" ht="12.75">
      <c r="B42" s="60">
        <v>1</v>
      </c>
      <c r="C42" s="14">
        <v>1</v>
      </c>
      <c r="D42" s="64">
        <f>$G$43</f>
        <v>2810.5213419877446</v>
      </c>
      <c r="E42" s="14">
        <f>D42/(1+$G$40)^C42</f>
        <v>2676.6869923692802</v>
      </c>
      <c r="G42" s="61" t="s">
        <v>46</v>
      </c>
    </row>
    <row r="43" spans="2:7" ht="12.75">
      <c r="B43" s="60">
        <v>2</v>
      </c>
      <c r="C43" s="14">
        <v>2</v>
      </c>
      <c r="D43" s="64">
        <f>$G$43</f>
        <v>2810.5213419877446</v>
      </c>
      <c r="E43" s="14">
        <f>D43/(1+$G$40)^C43</f>
        <v>2549.2257070183623</v>
      </c>
      <c r="G43" s="63">
        <f>D36*-1</f>
        <v>2810.5213419877446</v>
      </c>
    </row>
    <row r="44" spans="2:5" ht="12.75">
      <c r="B44" s="60">
        <v>3</v>
      </c>
      <c r="C44" s="14">
        <v>3</v>
      </c>
      <c r="D44" s="64">
        <f>$G$43</f>
        <v>2810.5213419877446</v>
      </c>
      <c r="E44" s="14">
        <f>D44/(1+$G$40)^C44</f>
        <v>2427.8340066841542</v>
      </c>
    </row>
    <row r="45" spans="2:5" ht="12.75">
      <c r="B45" s="60">
        <v>4</v>
      </c>
      <c r="C45" s="14" t="s">
        <v>8</v>
      </c>
      <c r="D45" s="64" t="s">
        <v>8</v>
      </c>
      <c r="E45" s="14" t="s">
        <v>8</v>
      </c>
    </row>
    <row r="46" spans="2:5" ht="12.75">
      <c r="B46" s="62" t="s">
        <v>8</v>
      </c>
      <c r="C46" s="17" t="s">
        <v>8</v>
      </c>
      <c r="D46" s="17" t="s">
        <v>8</v>
      </c>
      <c r="E46" s="17" t="s">
        <v>8</v>
      </c>
    </row>
    <row r="48" spans="4:5" ht="12.75">
      <c r="D48" t="s">
        <v>47</v>
      </c>
      <c r="E48" s="65">
        <f>SUM(E41:E47)</f>
        <v>10464.26804805954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C1">
      <selection activeCell="E13" sqref="E13"/>
    </sheetView>
  </sheetViews>
  <sheetFormatPr defaultColWidth="11.421875" defaultRowHeight="12.75"/>
  <cols>
    <col min="1" max="1" width="12.8515625" style="0" customWidth="1"/>
    <col min="2" max="2" width="11.7109375" style="0" customWidth="1"/>
    <col min="3" max="3" width="13.00390625" style="0" customWidth="1"/>
  </cols>
  <sheetData>
    <row r="1" spans="1:2" ht="12.75">
      <c r="A1" t="s">
        <v>80</v>
      </c>
      <c r="B1" t="s">
        <v>27</v>
      </c>
    </row>
    <row r="13" spans="2:6" ht="12.75">
      <c r="B13" s="29" t="s">
        <v>76</v>
      </c>
      <c r="F13" s="88" t="s">
        <v>77</v>
      </c>
    </row>
    <row r="14" ht="12.75">
      <c r="F14" s="89" t="s">
        <v>6</v>
      </c>
    </row>
    <row r="15" spans="2:8" ht="12.75">
      <c r="B15" s="96" t="s">
        <v>86</v>
      </c>
      <c r="C15" s="97" t="s">
        <v>82</v>
      </c>
      <c r="D15" s="98"/>
      <c r="F15" s="72">
        <v>0.05</v>
      </c>
      <c r="H15" s="90" t="s">
        <v>8</v>
      </c>
    </row>
    <row r="16" spans="2:8" ht="12.75">
      <c r="B16" s="101" t="s">
        <v>81</v>
      </c>
      <c r="C16" s="99">
        <f>FV(F15,1,,-F18)*(PMT(F15,3,1))</f>
        <v>-3855.6899286280704</v>
      </c>
      <c r="D16" s="100"/>
      <c r="F16" s="87"/>
      <c r="H16" s="107" t="s">
        <v>8</v>
      </c>
    </row>
    <row r="17" spans="6:8" ht="12.75">
      <c r="F17" s="71" t="s">
        <v>22</v>
      </c>
      <c r="H17" s="108"/>
    </row>
    <row r="18" ht="12.75">
      <c r="F18" s="41">
        <v>10000</v>
      </c>
    </row>
    <row r="19" ht="12.75">
      <c r="C19" t="s">
        <v>52</v>
      </c>
    </row>
    <row r="20" spans="2:9" ht="12.75">
      <c r="B20" s="16"/>
      <c r="C20" s="16"/>
      <c r="D20" s="16"/>
      <c r="E20" s="16"/>
      <c r="F20" s="13" t="s">
        <v>26</v>
      </c>
      <c r="G20" s="13" t="s">
        <v>24</v>
      </c>
      <c r="H20" s="13" t="s">
        <v>25</v>
      </c>
      <c r="I20" s="13"/>
    </row>
    <row r="21" spans="2:10" ht="12.75">
      <c r="B21" s="1"/>
      <c r="C21" s="1" t="s">
        <v>0</v>
      </c>
      <c r="D21" s="1" t="s">
        <v>8</v>
      </c>
      <c r="E21" s="1" t="s">
        <v>8</v>
      </c>
      <c r="F21" s="1" t="s">
        <v>8</v>
      </c>
      <c r="G21" s="2" t="s">
        <v>4</v>
      </c>
      <c r="H21" s="3" t="s">
        <v>20</v>
      </c>
      <c r="I21" s="3" t="s">
        <v>21</v>
      </c>
      <c r="J21" s="3" t="s">
        <v>84</v>
      </c>
    </row>
    <row r="22" spans="2:10" ht="12.75">
      <c r="B22" s="4"/>
      <c r="C22" s="4" t="s">
        <v>8</v>
      </c>
      <c r="D22" s="4" t="s">
        <v>1</v>
      </c>
      <c r="E22" s="4" t="s">
        <v>13</v>
      </c>
      <c r="F22" s="4" t="s">
        <v>14</v>
      </c>
      <c r="G22" s="4" t="s">
        <v>15</v>
      </c>
      <c r="H22" s="5" t="s">
        <v>17</v>
      </c>
      <c r="I22" s="5" t="s">
        <v>17</v>
      </c>
      <c r="J22" s="5" t="s">
        <v>55</v>
      </c>
    </row>
    <row r="23" spans="2:10" ht="12.75">
      <c r="B23" s="6" t="s">
        <v>11</v>
      </c>
      <c r="C23" s="6" t="s">
        <v>11</v>
      </c>
      <c r="D23" s="6" t="s">
        <v>9</v>
      </c>
      <c r="E23" s="6" t="s">
        <v>10</v>
      </c>
      <c r="F23" s="6" t="s">
        <v>12</v>
      </c>
      <c r="G23" s="6" t="s">
        <v>16</v>
      </c>
      <c r="H23" s="7" t="s">
        <v>18</v>
      </c>
      <c r="I23" s="7" t="s">
        <v>19</v>
      </c>
      <c r="J23" s="7" t="s">
        <v>85</v>
      </c>
    </row>
    <row r="24" spans="2:10" ht="12.75">
      <c r="B24" s="50"/>
      <c r="C24" s="8"/>
      <c r="D24" s="8"/>
      <c r="E24" s="8"/>
      <c r="F24" s="8"/>
      <c r="G24" s="8"/>
      <c r="H24" s="8"/>
      <c r="I24" s="9"/>
      <c r="J24" s="102"/>
    </row>
    <row r="25" spans="2:10" ht="12.75">
      <c r="B25" s="103"/>
      <c r="C25" s="14">
        <v>0</v>
      </c>
      <c r="D25" s="11" t="s">
        <v>8</v>
      </c>
      <c r="E25" s="11">
        <v>0</v>
      </c>
      <c r="F25" s="11">
        <v>0</v>
      </c>
      <c r="G25" s="11">
        <v>0</v>
      </c>
      <c r="H25" s="11">
        <f>F18</f>
        <v>10000</v>
      </c>
      <c r="I25" s="12">
        <v>0</v>
      </c>
      <c r="J25" s="103"/>
    </row>
    <row r="26" spans="2:10" ht="12.75">
      <c r="B26" s="103"/>
      <c r="C26" s="14">
        <v>1</v>
      </c>
      <c r="D26" s="35">
        <v>90</v>
      </c>
      <c r="E26" s="11">
        <v>0</v>
      </c>
      <c r="F26" s="11">
        <v>0</v>
      </c>
      <c r="G26" s="11">
        <v>0</v>
      </c>
      <c r="H26" s="11">
        <f>H25-G26+J26</f>
        <v>10500</v>
      </c>
      <c r="I26" s="12">
        <f>G26+I25</f>
        <v>0</v>
      </c>
      <c r="J26" s="15">
        <f>H25*$F$15</f>
        <v>500</v>
      </c>
    </row>
    <row r="27" spans="2:10" ht="12.75">
      <c r="B27" s="103"/>
      <c r="C27" s="14">
        <v>2</v>
      </c>
      <c r="D27" s="35">
        <v>90</v>
      </c>
      <c r="E27" s="11">
        <f>$C$16*-1</f>
        <v>3855.6899286280704</v>
      </c>
      <c r="F27" s="15">
        <f>$F$15*H26</f>
        <v>525</v>
      </c>
      <c r="G27" s="11">
        <f>E27-F27</f>
        <v>3330.6899286280704</v>
      </c>
      <c r="H27" s="11">
        <f>H26-G27</f>
        <v>7169.31007137193</v>
      </c>
      <c r="I27" s="12">
        <f>G27+I26</f>
        <v>3330.6899286280704</v>
      </c>
      <c r="J27" s="103"/>
    </row>
    <row r="28" spans="2:10" ht="12.75">
      <c r="B28" s="103"/>
      <c r="C28" s="14">
        <v>3</v>
      </c>
      <c r="D28" s="35">
        <v>90</v>
      </c>
      <c r="E28" s="11">
        <f>$C$16*-1</f>
        <v>3855.6899286280704</v>
      </c>
      <c r="F28" s="15">
        <f>$F$15*H27</f>
        <v>358.4655035685965</v>
      </c>
      <c r="G28" s="11">
        <f>E28-F28</f>
        <v>3497.224425059474</v>
      </c>
      <c r="H28" s="11">
        <f>H27-G28</f>
        <v>3672.0856463124555</v>
      </c>
      <c r="I28" s="12">
        <f>G28+I27</f>
        <v>6827.9143536875445</v>
      </c>
      <c r="J28" s="103"/>
    </row>
    <row r="29" spans="2:10" ht="12.75">
      <c r="B29" s="103"/>
      <c r="C29" s="14">
        <v>4</v>
      </c>
      <c r="D29" s="35">
        <v>90</v>
      </c>
      <c r="E29" s="11">
        <f>$C$16*-1</f>
        <v>3855.6899286280704</v>
      </c>
      <c r="F29" s="15">
        <f>$F$15*H28</f>
        <v>183.60428231562278</v>
      </c>
      <c r="G29" s="11">
        <f>E29-F29</f>
        <v>3672.085646312448</v>
      </c>
      <c r="H29" s="11">
        <f>H28-G29</f>
        <v>7.73070496506989E-12</v>
      </c>
      <c r="I29" s="12">
        <f>G29+I28</f>
        <v>10499.999999999993</v>
      </c>
      <c r="J29" s="103"/>
    </row>
    <row r="30" spans="2:10" ht="12.75">
      <c r="B30" s="17" t="s">
        <v>83</v>
      </c>
      <c r="C30" s="92"/>
      <c r="D30" s="36"/>
      <c r="E30" s="20"/>
      <c r="F30" s="19"/>
      <c r="G30" s="20"/>
      <c r="H30" s="20"/>
      <c r="I30" s="21"/>
      <c r="J30" s="68"/>
    </row>
    <row r="31" spans="2:9" ht="12.75">
      <c r="B31" s="93"/>
      <c r="C31" s="94"/>
      <c r="D31" s="105">
        <f>SUM(D25:D29)</f>
        <v>360</v>
      </c>
      <c r="E31" s="105">
        <f>SUM(E25:E29)</f>
        <v>11567.06978588421</v>
      </c>
      <c r="F31" s="105">
        <f>SUM(F25:F29)</f>
        <v>1067.0697858842193</v>
      </c>
      <c r="G31" s="106">
        <f>SUM(G25:G29)</f>
        <v>10499.999999999993</v>
      </c>
      <c r="H31" s="95"/>
      <c r="I31" s="95"/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B17">
      <selection activeCell="H33" sqref="H33"/>
    </sheetView>
  </sheetViews>
  <sheetFormatPr defaultColWidth="11.421875" defaultRowHeight="12.75"/>
  <cols>
    <col min="1" max="1" width="14.00390625" style="0" customWidth="1"/>
    <col min="2" max="2" width="8.8515625" style="0" customWidth="1"/>
    <col min="3" max="3" width="14.7109375" style="0" customWidth="1"/>
    <col min="4" max="4" width="10.28125" style="0" customWidth="1"/>
  </cols>
  <sheetData>
    <row r="1" spans="1:2" ht="12.75">
      <c r="A1" t="s">
        <v>75</v>
      </c>
      <c r="B1" t="s">
        <v>27</v>
      </c>
    </row>
    <row r="13" spans="2:6" ht="12.75">
      <c r="B13" s="29" t="s">
        <v>76</v>
      </c>
      <c r="F13" s="88" t="s">
        <v>77</v>
      </c>
    </row>
    <row r="14" ht="12.75">
      <c r="F14" s="89" t="s">
        <v>6</v>
      </c>
    </row>
    <row r="15" spans="2:6" ht="12.75">
      <c r="B15" s="30" t="s">
        <v>79</v>
      </c>
      <c r="C15" s="30" t="s">
        <v>78</v>
      </c>
      <c r="D15" s="91">
        <f>PMT(F15,4,F18,,1)</f>
        <v>-2685.826977175836</v>
      </c>
      <c r="F15" s="72">
        <v>0.05</v>
      </c>
    </row>
    <row r="16" ht="12.75">
      <c r="F16" s="87"/>
    </row>
    <row r="17" ht="12.75">
      <c r="F17" s="71" t="s">
        <v>22</v>
      </c>
    </row>
    <row r="18" ht="12.75">
      <c r="F18" s="41">
        <v>10000</v>
      </c>
    </row>
    <row r="19" ht="12.75">
      <c r="C19" t="s">
        <v>52</v>
      </c>
    </row>
    <row r="20" spans="2:9" ht="12.75">
      <c r="B20" s="16"/>
      <c r="C20" s="16"/>
      <c r="D20" s="16"/>
      <c r="E20" s="16"/>
      <c r="F20" s="13" t="s">
        <v>26</v>
      </c>
      <c r="G20" s="13" t="s">
        <v>24</v>
      </c>
      <c r="H20" s="13" t="s">
        <v>25</v>
      </c>
      <c r="I20" s="13"/>
    </row>
    <row r="21" spans="2:9" ht="12.75">
      <c r="B21" s="1"/>
      <c r="C21" s="1" t="s">
        <v>0</v>
      </c>
      <c r="D21" s="1" t="s">
        <v>8</v>
      </c>
      <c r="E21" s="1" t="s">
        <v>8</v>
      </c>
      <c r="F21" s="1" t="s">
        <v>8</v>
      </c>
      <c r="G21" s="2" t="s">
        <v>4</v>
      </c>
      <c r="H21" s="3" t="s">
        <v>20</v>
      </c>
      <c r="I21" s="3" t="s">
        <v>21</v>
      </c>
    </row>
    <row r="22" spans="2:9" ht="12.75">
      <c r="B22" s="4"/>
      <c r="C22" s="4" t="s">
        <v>2</v>
      </c>
      <c r="D22" s="4" t="s">
        <v>1</v>
      </c>
      <c r="E22" s="4" t="s">
        <v>13</v>
      </c>
      <c r="F22" s="4" t="s">
        <v>14</v>
      </c>
      <c r="G22" s="4" t="s">
        <v>15</v>
      </c>
      <c r="H22" s="5" t="s">
        <v>17</v>
      </c>
      <c r="I22" s="5" t="s">
        <v>17</v>
      </c>
    </row>
    <row r="23" spans="2:9" ht="12.75">
      <c r="B23" s="6" t="s">
        <v>11</v>
      </c>
      <c r="C23" s="6" t="s">
        <v>3</v>
      </c>
      <c r="D23" s="6" t="s">
        <v>9</v>
      </c>
      <c r="E23" s="6" t="s">
        <v>10</v>
      </c>
      <c r="F23" s="6" t="s">
        <v>12</v>
      </c>
      <c r="G23" s="6" t="s">
        <v>16</v>
      </c>
      <c r="H23" s="7" t="s">
        <v>18</v>
      </c>
      <c r="I23" s="7" t="s">
        <v>19</v>
      </c>
    </row>
    <row r="24" spans="2:9" ht="12.75">
      <c r="B24" s="50"/>
      <c r="C24" s="8"/>
      <c r="D24" s="8"/>
      <c r="E24" s="8"/>
      <c r="F24" s="8"/>
      <c r="G24" s="8"/>
      <c r="H24" s="8"/>
      <c r="I24" s="9"/>
    </row>
    <row r="25" spans="2:9" ht="12.75">
      <c r="B25" s="14">
        <v>0</v>
      </c>
      <c r="C25" s="22">
        <v>37849</v>
      </c>
      <c r="D25" s="66">
        <v>0</v>
      </c>
      <c r="E25" s="11">
        <v>0</v>
      </c>
      <c r="F25" s="11">
        <v>0</v>
      </c>
      <c r="G25" s="11">
        <v>0</v>
      </c>
      <c r="H25" s="11">
        <f>F18</f>
        <v>10000</v>
      </c>
      <c r="I25" s="12">
        <v>0</v>
      </c>
    </row>
    <row r="26" spans="2:9" ht="12.75">
      <c r="B26" s="14">
        <v>0</v>
      </c>
      <c r="C26" s="23">
        <v>37849</v>
      </c>
      <c r="D26" s="35">
        <f>C26-C25</f>
        <v>0</v>
      </c>
      <c r="E26" s="11">
        <f>$D$15*-1</f>
        <v>2685.826977175836</v>
      </c>
      <c r="F26" s="15">
        <v>0</v>
      </c>
      <c r="G26" s="11">
        <f>E26-F26</f>
        <v>2685.826977175836</v>
      </c>
      <c r="H26" s="11">
        <f>H25-G26</f>
        <v>7314.173022824164</v>
      </c>
      <c r="I26" s="12">
        <f>G26+I25</f>
        <v>2685.826977175836</v>
      </c>
    </row>
    <row r="27" spans="2:9" ht="12.75">
      <c r="B27" s="14">
        <v>1</v>
      </c>
      <c r="C27" s="23">
        <v>37939</v>
      </c>
      <c r="D27" s="35">
        <f>C27-C26</f>
        <v>90</v>
      </c>
      <c r="E27" s="11">
        <f>$D$15*-1</f>
        <v>2685.826977175836</v>
      </c>
      <c r="F27" s="15">
        <f>$F$15*H26</f>
        <v>365.70865114120824</v>
      </c>
      <c r="G27" s="11">
        <f>E27-F27</f>
        <v>2320.118326034628</v>
      </c>
      <c r="H27" s="11">
        <f>H26-G27</f>
        <v>4994.054696789536</v>
      </c>
      <c r="I27" s="12">
        <f>G27+I26</f>
        <v>5005.945303210464</v>
      </c>
    </row>
    <row r="28" spans="2:9" ht="12.75">
      <c r="B28" s="14">
        <v>2</v>
      </c>
      <c r="C28" s="23">
        <v>38029</v>
      </c>
      <c r="D28" s="35">
        <f>C28-C27</f>
        <v>90</v>
      </c>
      <c r="E28" s="11">
        <f>$D$15*-1</f>
        <v>2685.826977175836</v>
      </c>
      <c r="F28" s="15">
        <f>$F$15*H27</f>
        <v>249.70273483947682</v>
      </c>
      <c r="G28" s="11">
        <f>E28-F28</f>
        <v>2436.124242336359</v>
      </c>
      <c r="H28" s="11">
        <f>H27-G28</f>
        <v>2557.930454453177</v>
      </c>
      <c r="I28" s="12">
        <f>G28+I27</f>
        <v>7442.069545546823</v>
      </c>
    </row>
    <row r="29" spans="2:9" ht="12.75">
      <c r="B29" s="14">
        <v>3</v>
      </c>
      <c r="C29" s="23">
        <v>38119</v>
      </c>
      <c r="D29" s="35">
        <f>C29-C28</f>
        <v>90</v>
      </c>
      <c r="E29" s="11">
        <f>$D$15*-1</f>
        <v>2685.826977175836</v>
      </c>
      <c r="F29" s="15">
        <f>$F$15*H28</f>
        <v>127.89652272265886</v>
      </c>
      <c r="G29" s="11">
        <f>E29-F29</f>
        <v>2557.930454453177</v>
      </c>
      <c r="H29" s="11">
        <f>H28-G29</f>
        <v>0</v>
      </c>
      <c r="I29" s="12">
        <f>G29+I28</f>
        <v>10000</v>
      </c>
    </row>
    <row r="30" spans="2:9" ht="12.75">
      <c r="B30" s="17">
        <v>4</v>
      </c>
      <c r="C30" s="92"/>
      <c r="D30" s="19"/>
      <c r="E30" s="20"/>
      <c r="F30" s="19"/>
      <c r="G30" s="20"/>
      <c r="H30" s="20"/>
      <c r="I30" s="21"/>
    </row>
    <row r="31" spans="2:9" ht="12.75">
      <c r="B31" s="93"/>
      <c r="C31" s="94"/>
      <c r="D31" s="105">
        <f>SUM(D25:D30)</f>
        <v>270</v>
      </c>
      <c r="E31" s="105">
        <f>SUM(E25:E30)</f>
        <v>10743.307908703344</v>
      </c>
      <c r="F31" s="105">
        <f>SUM(F25:F30)</f>
        <v>743.3079087033439</v>
      </c>
      <c r="G31" s="106">
        <f>SUM(G25:G30)</f>
        <v>10000</v>
      </c>
      <c r="H31" s="95"/>
      <c r="I31" s="95"/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F27" sqref="F27"/>
    </sheetView>
  </sheetViews>
  <sheetFormatPr defaultColWidth="11.421875" defaultRowHeight="12.75"/>
  <cols>
    <col min="1" max="1" width="13.7109375" style="0" customWidth="1"/>
    <col min="2" max="2" width="13.140625" style="0" customWidth="1"/>
    <col min="4" max="5" width="12.28125" style="0" bestFit="1" customWidth="1"/>
    <col min="7" max="7" width="13.140625" style="0" customWidth="1"/>
    <col min="9" max="9" width="12.28125" style="0" customWidth="1"/>
  </cols>
  <sheetData>
    <row r="1" spans="1:10" ht="12.75">
      <c r="A1" t="s">
        <v>57</v>
      </c>
      <c r="B1" t="s">
        <v>27</v>
      </c>
      <c r="I1" t="s">
        <v>57</v>
      </c>
      <c r="J1" t="s">
        <v>27</v>
      </c>
    </row>
    <row r="12" ht="12.75">
      <c r="B12" s="29" t="s">
        <v>64</v>
      </c>
    </row>
    <row r="13" spans="1:6" ht="12.75">
      <c r="A13" s="16"/>
      <c r="B13" s="16"/>
      <c r="C13" s="13" t="s">
        <v>66</v>
      </c>
      <c r="D13" s="13" t="s">
        <v>67</v>
      </c>
      <c r="E13" s="13" t="s">
        <v>68</v>
      </c>
      <c r="F13" s="13"/>
    </row>
    <row r="14" spans="1:8" ht="12.75">
      <c r="A14" s="1"/>
      <c r="B14" s="1" t="s">
        <v>8</v>
      </c>
      <c r="C14" s="1" t="s">
        <v>8</v>
      </c>
      <c r="D14" s="2" t="s">
        <v>59</v>
      </c>
      <c r="E14" s="3" t="s">
        <v>60</v>
      </c>
      <c r="F14" s="3" t="s">
        <v>61</v>
      </c>
      <c r="H14" s="39" t="s">
        <v>62</v>
      </c>
    </row>
    <row r="15" spans="1:8" ht="12.75">
      <c r="A15" s="4"/>
      <c r="B15" s="4" t="s">
        <v>58</v>
      </c>
      <c r="C15" s="4" t="s">
        <v>1</v>
      </c>
      <c r="D15" s="4" t="s">
        <v>15</v>
      </c>
      <c r="E15" s="5" t="s">
        <v>17</v>
      </c>
      <c r="F15" s="5" t="s">
        <v>17</v>
      </c>
      <c r="H15" s="41" t="s">
        <v>63</v>
      </c>
    </row>
    <row r="16" spans="1:8" ht="12.75">
      <c r="A16" s="6" t="s">
        <v>11</v>
      </c>
      <c r="B16" s="6" t="s">
        <v>10</v>
      </c>
      <c r="C16" s="6" t="s">
        <v>12</v>
      </c>
      <c r="D16" s="6" t="s">
        <v>16</v>
      </c>
      <c r="E16" s="7" t="s">
        <v>18</v>
      </c>
      <c r="F16" s="7" t="s">
        <v>19</v>
      </c>
      <c r="H16" s="71" t="s">
        <v>10</v>
      </c>
    </row>
    <row r="17" spans="1:8" ht="12.75">
      <c r="A17" s="14"/>
      <c r="B17" s="8"/>
      <c r="C17" s="8"/>
      <c r="D17" s="8"/>
      <c r="E17" s="9"/>
      <c r="F17" s="9"/>
      <c r="H17" s="71">
        <v>2885.91</v>
      </c>
    </row>
    <row r="18" spans="1:8" ht="12.75">
      <c r="A18" s="14">
        <v>0</v>
      </c>
      <c r="B18" s="11">
        <v>0</v>
      </c>
      <c r="C18" s="11">
        <v>0</v>
      </c>
      <c r="D18" s="11">
        <v>0</v>
      </c>
      <c r="E18" s="12">
        <f>$H$23</f>
        <v>10000</v>
      </c>
      <c r="F18" s="12">
        <v>0</v>
      </c>
      <c r="H18" s="30"/>
    </row>
    <row r="19" spans="1:8" ht="12.75">
      <c r="A19" s="14">
        <v>1</v>
      </c>
      <c r="B19" s="11">
        <f>$H$17</f>
        <v>2885.91</v>
      </c>
      <c r="C19" s="15">
        <f>E18*$H$20</f>
        <v>600</v>
      </c>
      <c r="D19" s="11">
        <f>B19-C19</f>
        <v>2285.91</v>
      </c>
      <c r="E19" s="12">
        <f>E18-D19</f>
        <v>7714.09</v>
      </c>
      <c r="F19" s="12">
        <f>D19+F18</f>
        <v>2285.91</v>
      </c>
      <c r="H19" s="71" t="s">
        <v>6</v>
      </c>
    </row>
    <row r="20" spans="1:8" ht="12.75">
      <c r="A20" s="14">
        <v>2</v>
      </c>
      <c r="B20" s="11">
        <f>$H$17</f>
        <v>2885.91</v>
      </c>
      <c r="C20" s="15">
        <f>E19*$H$20</f>
        <v>462.8454</v>
      </c>
      <c r="D20" s="11">
        <f>B20-C20</f>
        <v>2423.0645999999997</v>
      </c>
      <c r="E20" s="12">
        <f>E19-D20</f>
        <v>5291.0254</v>
      </c>
      <c r="F20" s="12">
        <f>D20+F19</f>
        <v>4708.9746</v>
      </c>
      <c r="H20" s="72">
        <v>0.06</v>
      </c>
    </row>
    <row r="21" spans="1:8" ht="12.75">
      <c r="A21" s="14">
        <v>3</v>
      </c>
      <c r="B21" s="11">
        <f>$H$17</f>
        <v>2885.91</v>
      </c>
      <c r="C21" s="15">
        <f>E20*$H$20</f>
        <v>317.461524</v>
      </c>
      <c r="D21" s="11">
        <f>B21-C21</f>
        <v>2568.448476</v>
      </c>
      <c r="E21" s="12">
        <f>E20-D21</f>
        <v>2722.5769240000004</v>
      </c>
      <c r="F21" s="12">
        <f>D21+F20</f>
        <v>7277.423075999999</v>
      </c>
      <c r="H21" s="30"/>
    </row>
    <row r="22" spans="1:8" ht="12.75">
      <c r="A22" s="14">
        <v>4</v>
      </c>
      <c r="B22" s="11">
        <f>$H$17</f>
        <v>2885.91</v>
      </c>
      <c r="C22" s="15">
        <f>E21*$H$20</f>
        <v>163.35461544000003</v>
      </c>
      <c r="D22" s="11">
        <f>B22-C22</f>
        <v>2722.5553845599998</v>
      </c>
      <c r="E22" s="73">
        <f>E21-D22</f>
        <v>0.021539440000651666</v>
      </c>
      <c r="F22" s="73">
        <f>D22+F21</f>
        <v>9999.97846056</v>
      </c>
      <c r="H22" s="71" t="s">
        <v>22</v>
      </c>
    </row>
    <row r="23" spans="1:8" ht="12.75">
      <c r="A23" s="14"/>
      <c r="B23" s="11"/>
      <c r="C23" s="15"/>
      <c r="D23" s="11"/>
      <c r="E23" s="12"/>
      <c r="F23" s="12"/>
      <c r="H23" s="6">
        <v>10000</v>
      </c>
    </row>
    <row r="24" spans="1:6" ht="12.75">
      <c r="A24" s="14"/>
      <c r="B24" s="11"/>
      <c r="C24" s="15"/>
      <c r="D24" s="11"/>
      <c r="E24" s="12"/>
      <c r="F24" s="12"/>
    </row>
    <row r="25" spans="1:6" ht="12.75">
      <c r="A25" s="17"/>
      <c r="B25" s="18" t="s">
        <v>8</v>
      </c>
      <c r="C25" s="19" t="s">
        <v>8</v>
      </c>
      <c r="D25" s="20" t="s">
        <v>8</v>
      </c>
      <c r="E25" s="21" t="s">
        <v>8</v>
      </c>
      <c r="F25" s="21" t="s">
        <v>8</v>
      </c>
    </row>
    <row r="26" spans="2:4" ht="12.75">
      <c r="B26" s="105">
        <f>SUM(B18:B22)</f>
        <v>11543.64</v>
      </c>
      <c r="C26" s="105">
        <f>SUM(C18:C22)</f>
        <v>1543.66153944</v>
      </c>
      <c r="D26" s="111">
        <f>SUM(D18:D22)</f>
        <v>9999.97846056</v>
      </c>
    </row>
    <row r="29" ht="12.75">
      <c r="B29" s="29" t="s">
        <v>65</v>
      </c>
    </row>
    <row r="30" spans="1:6" ht="12.75">
      <c r="A30" s="16"/>
      <c r="B30" s="16"/>
      <c r="C30" s="13" t="s">
        <v>66</v>
      </c>
      <c r="D30" s="13" t="s">
        <v>67</v>
      </c>
      <c r="E30" s="13" t="s">
        <v>68</v>
      </c>
      <c r="F30" s="13"/>
    </row>
    <row r="31" spans="1:6" ht="12.75">
      <c r="A31" s="1"/>
      <c r="B31" s="1" t="s">
        <v>8</v>
      </c>
      <c r="C31" s="1" t="s">
        <v>8</v>
      </c>
      <c r="D31" s="2" t="s">
        <v>59</v>
      </c>
      <c r="E31" s="3" t="s">
        <v>60</v>
      </c>
      <c r="F31" s="3" t="s">
        <v>61</v>
      </c>
    </row>
    <row r="32" spans="1:6" ht="12.75">
      <c r="A32" s="4"/>
      <c r="B32" s="4" t="s">
        <v>58</v>
      </c>
      <c r="C32" s="4" t="s">
        <v>1</v>
      </c>
      <c r="D32" s="4" t="s">
        <v>15</v>
      </c>
      <c r="E32" s="5" t="s">
        <v>17</v>
      </c>
      <c r="F32" s="5" t="s">
        <v>17</v>
      </c>
    </row>
    <row r="33" spans="1:6" ht="12.75">
      <c r="A33" s="6" t="s">
        <v>11</v>
      </c>
      <c r="B33" s="6" t="s">
        <v>10</v>
      </c>
      <c r="C33" s="6" t="s">
        <v>12</v>
      </c>
      <c r="D33" s="6" t="s">
        <v>16</v>
      </c>
      <c r="E33" s="7" t="s">
        <v>18</v>
      </c>
      <c r="F33" s="7" t="s">
        <v>19</v>
      </c>
    </row>
    <row r="34" spans="1:6" ht="12.75">
      <c r="A34" s="50"/>
      <c r="B34" s="8"/>
      <c r="C34" s="8"/>
      <c r="D34" s="8"/>
      <c r="E34" s="8"/>
      <c r="F34" s="9"/>
    </row>
    <row r="35" spans="1:6" ht="12.75">
      <c r="A35" s="14">
        <v>0</v>
      </c>
      <c r="B35" s="11">
        <v>0</v>
      </c>
      <c r="C35" s="11">
        <v>0</v>
      </c>
      <c r="D35" s="11">
        <v>0</v>
      </c>
      <c r="E35" s="74">
        <v>10000</v>
      </c>
      <c r="F35" s="12">
        <v>0</v>
      </c>
    </row>
    <row r="36" spans="1:6" ht="12.75">
      <c r="A36" s="14">
        <v>1</v>
      </c>
      <c r="B36" s="11">
        <f>$H$17</f>
        <v>2885.91</v>
      </c>
      <c r="C36" s="15">
        <f>E35*$H$20</f>
        <v>600</v>
      </c>
      <c r="D36" s="11">
        <f>B36-C36</f>
        <v>2285.91</v>
      </c>
      <c r="E36" s="11">
        <f>E35-D36-E42</f>
        <v>7100</v>
      </c>
      <c r="F36" s="12">
        <f>D36+F35+E42</f>
        <v>2900</v>
      </c>
    </row>
    <row r="37" spans="1:6" ht="12.75">
      <c r="A37" s="14">
        <v>2</v>
      </c>
      <c r="B37" s="77">
        <f>$E$44*-1</f>
        <v>2656.1796708129127</v>
      </c>
      <c r="C37" s="15">
        <f>E36*$H$20</f>
        <v>426</v>
      </c>
      <c r="D37" s="11">
        <f>B37-C37</f>
        <v>2230.1796708129127</v>
      </c>
      <c r="E37" s="11">
        <f>E36-D37</f>
        <v>4869.820329187087</v>
      </c>
      <c r="F37" s="12">
        <f>D37+F36</f>
        <v>5130.179670812913</v>
      </c>
    </row>
    <row r="38" spans="1:6" ht="12.75">
      <c r="A38" s="14">
        <v>3</v>
      </c>
      <c r="B38" s="77">
        <f>$E$44*-1</f>
        <v>2656.1796708129127</v>
      </c>
      <c r="C38" s="15">
        <f>E37*$H$20</f>
        <v>292.1892197512252</v>
      </c>
      <c r="D38" s="11">
        <f>B38-C38</f>
        <v>2363.9904510616875</v>
      </c>
      <c r="E38" s="11">
        <f>E37-D38</f>
        <v>2505.8298781253993</v>
      </c>
      <c r="F38" s="12">
        <f>D38+F37</f>
        <v>7494.1701218746</v>
      </c>
    </row>
    <row r="39" spans="1:6" ht="12.75">
      <c r="A39" s="17">
        <v>4</v>
      </c>
      <c r="B39" s="78">
        <f>$E$44*-1</f>
        <v>2656.1796708129127</v>
      </c>
      <c r="C39" s="19">
        <f>E38*$H$20</f>
        <v>150.34979268752394</v>
      </c>
      <c r="D39" s="20">
        <f>B39-C39</f>
        <v>2505.829878125389</v>
      </c>
      <c r="E39" s="75">
        <f>E38-D39</f>
        <v>1.0459189070388675E-11</v>
      </c>
      <c r="F39" s="76">
        <f>D39+F38</f>
        <v>9999.999999999989</v>
      </c>
    </row>
    <row r="40" spans="2:4" ht="12.75">
      <c r="B40" s="105">
        <f>SUM(B35:B39)</f>
        <v>10854.44901243874</v>
      </c>
      <c r="C40" s="105">
        <f>SUM(C35:C39)</f>
        <v>1468.539012438749</v>
      </c>
      <c r="D40" s="106">
        <f>SUM(D35:D39)+E42</f>
        <v>9999.999999999989</v>
      </c>
    </row>
    <row r="42" spans="2:5" ht="12.75">
      <c r="B42" s="24" t="s">
        <v>73</v>
      </c>
      <c r="C42" s="79" t="s">
        <v>69</v>
      </c>
      <c r="D42" s="25"/>
      <c r="E42" s="80">
        <f>3500-2885.91</f>
        <v>614.0900000000001</v>
      </c>
    </row>
    <row r="43" spans="2:5" ht="12.75">
      <c r="B43" s="82"/>
      <c r="C43" s="83"/>
      <c r="D43" s="83"/>
      <c r="E43" s="9"/>
    </row>
    <row r="44" spans="2:5" ht="12.75">
      <c r="B44" s="24" t="s">
        <v>70</v>
      </c>
      <c r="C44" s="25" t="s">
        <v>71</v>
      </c>
      <c r="D44" s="25"/>
      <c r="E44" s="81">
        <f>PMT(H20,3,E36)</f>
        <v>-2656.1796708129127</v>
      </c>
    </row>
    <row r="47" ht="12.75">
      <c r="B47" s="29" t="s">
        <v>72</v>
      </c>
    </row>
    <row r="48" spans="2:7" ht="12.75">
      <c r="B48" s="55" t="s">
        <v>11</v>
      </c>
      <c r="C48" s="56" t="s">
        <v>45</v>
      </c>
      <c r="D48" s="1" t="s">
        <v>51</v>
      </c>
      <c r="E48" s="56" t="s">
        <v>49</v>
      </c>
      <c r="G48" s="52" t="s">
        <v>6</v>
      </c>
    </row>
    <row r="49" spans="2:7" ht="12.75">
      <c r="B49" s="57"/>
      <c r="C49" s="58" t="s">
        <v>50</v>
      </c>
      <c r="D49" s="58"/>
      <c r="E49" s="58"/>
      <c r="G49" s="59">
        <v>0.06</v>
      </c>
    </row>
    <row r="50" spans="2:5" ht="12.75">
      <c r="B50" s="84">
        <v>0</v>
      </c>
      <c r="C50" s="50">
        <v>0</v>
      </c>
      <c r="D50" s="85" t="s">
        <v>8</v>
      </c>
      <c r="E50" s="50" t="s">
        <v>8</v>
      </c>
    </row>
    <row r="51" spans="2:7" ht="12.75">
      <c r="B51" s="60">
        <v>1</v>
      </c>
      <c r="C51" s="14">
        <v>1</v>
      </c>
      <c r="D51" s="64">
        <f>$G$52*-1</f>
        <v>2656.1796708129127</v>
      </c>
      <c r="E51" s="14">
        <f>D51/(1+$G$49)^C51</f>
        <v>2505.8298781253893</v>
      </c>
      <c r="G51" s="61" t="s">
        <v>46</v>
      </c>
    </row>
    <row r="52" spans="2:7" ht="12.75">
      <c r="B52" s="60">
        <v>2</v>
      </c>
      <c r="C52" s="14">
        <v>2</v>
      </c>
      <c r="D52" s="64">
        <f>$G$52*-1</f>
        <v>2656.1796708129127</v>
      </c>
      <c r="E52" s="14">
        <f>D52/(1+$G$49)^C52</f>
        <v>2363.990451061688</v>
      </c>
      <c r="G52" s="63">
        <f>E44</f>
        <v>-2656.1796708129127</v>
      </c>
    </row>
    <row r="53" spans="2:5" ht="12.75">
      <c r="B53" s="62">
        <v>3</v>
      </c>
      <c r="C53" s="17">
        <v>3</v>
      </c>
      <c r="D53" s="86">
        <f>$G$52*-1</f>
        <v>2656.1796708129127</v>
      </c>
      <c r="E53" s="17">
        <f>D53/(1+$G$49)^C53</f>
        <v>2230.1796708129127</v>
      </c>
    </row>
    <row r="55" spans="4:5" ht="12.75">
      <c r="D55" t="s">
        <v>47</v>
      </c>
      <c r="E55" s="65">
        <f>SUM(E50:E54)</f>
        <v>7099.999999999991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dcterms:created xsi:type="dcterms:W3CDTF">2003-11-05T03:16:56Z</dcterms:created>
  <dcterms:modified xsi:type="dcterms:W3CDTF">2003-11-12T05:23:26Z</dcterms:modified>
  <cp:category/>
  <cp:version/>
  <cp:contentType/>
  <cp:contentStatus/>
</cp:coreProperties>
</file>